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640" firstSheet="1" activeTab="1"/>
  </bookViews>
  <sheets>
    <sheet name="Лист5" sheetId="1" state="hidden" r:id="rId1"/>
    <sheet name="Меню 2 кв 2023" sheetId="2" r:id="rId2"/>
    <sheet name="завтрак" sheetId="3" r:id="rId3"/>
    <sheet name="обед" sheetId="4" r:id="rId4"/>
    <sheet name="Расчет" sheetId="5" r:id="rId5"/>
    <sheet name="Остатки" sheetId="6" r:id="rId6"/>
  </sheets>
  <definedNames>
    <definedName name="_xlnm.Print_Area" localSheetId="1">'Меню 2 кв 2023'!$A$1:$M$484</definedName>
    <definedName name="_xlnm.Print_Area" localSheetId="5">'Остатки'!$A$1:$G$58</definedName>
    <definedName name="_xlnm.Print_Area" localSheetId="4">'Расчет'!$A$1:$Q$62</definedName>
  </definedNames>
  <calcPr fullCalcOnLoad="1" fullPrecision="0"/>
</workbook>
</file>

<file path=xl/sharedStrings.xml><?xml version="1.0" encoding="utf-8"?>
<sst xmlns="http://schemas.openxmlformats.org/spreadsheetml/2006/main" count="958" uniqueCount="237">
  <si>
    <t>завтрак</t>
  </si>
  <si>
    <t>рис</t>
  </si>
  <si>
    <t>сахар</t>
  </si>
  <si>
    <t>№ п/п</t>
  </si>
  <si>
    <t>масса порции</t>
  </si>
  <si>
    <t>обед</t>
  </si>
  <si>
    <t>лук</t>
  </si>
  <si>
    <t>картофель</t>
  </si>
  <si>
    <t>морковь</t>
  </si>
  <si>
    <t>сметана</t>
  </si>
  <si>
    <t>молоко</t>
  </si>
  <si>
    <t>яйцо</t>
  </si>
  <si>
    <t>брутто</t>
  </si>
  <si>
    <t>Чай с сахаром</t>
  </si>
  <si>
    <t>чай</t>
  </si>
  <si>
    <t>свекла</t>
  </si>
  <si>
    <t>говядина</t>
  </si>
  <si>
    <t>капуста</t>
  </si>
  <si>
    <t>томат-паста</t>
  </si>
  <si>
    <t>хлеб</t>
  </si>
  <si>
    <t>сухофрукты</t>
  </si>
  <si>
    <t>горох</t>
  </si>
  <si>
    <t>макароны</t>
  </si>
  <si>
    <t>сыр</t>
  </si>
  <si>
    <t xml:space="preserve">лук </t>
  </si>
  <si>
    <t>Компот из сухофруктов</t>
  </si>
  <si>
    <t>масло раст</t>
  </si>
  <si>
    <t>томат паста</t>
  </si>
  <si>
    <t>масло слив</t>
  </si>
  <si>
    <t>продукты</t>
  </si>
  <si>
    <t>цена</t>
  </si>
  <si>
    <t>сумма</t>
  </si>
  <si>
    <t>г</t>
  </si>
  <si>
    <t>за кг</t>
  </si>
  <si>
    <t>рубли</t>
  </si>
  <si>
    <t>Хлеб пшеничный</t>
  </si>
  <si>
    <t>I неделя вторник</t>
  </si>
  <si>
    <t>I неделя среда</t>
  </si>
  <si>
    <t>II неделя понедельник</t>
  </si>
  <si>
    <t>II неделя вторник</t>
  </si>
  <si>
    <t>II неделя среда</t>
  </si>
  <si>
    <t>II неделя четверг</t>
  </si>
  <si>
    <t>II неделя пятница</t>
  </si>
  <si>
    <t>Изюм</t>
  </si>
  <si>
    <t>кг</t>
  </si>
  <si>
    <t>л</t>
  </si>
  <si>
    <t>Масло сливочное (72,5%)</t>
  </si>
  <si>
    <t>Сыр твердый (45%)</t>
  </si>
  <si>
    <t>шт</t>
  </si>
  <si>
    <t>Макароны (высший сорт)</t>
  </si>
  <si>
    <t>Вермишель (высший сорт)</t>
  </si>
  <si>
    <t>чай сухой</t>
  </si>
  <si>
    <t>Наименование</t>
  </si>
  <si>
    <t>Цена</t>
  </si>
  <si>
    <t>Сумма</t>
  </si>
  <si>
    <t>Всего обед</t>
  </si>
  <si>
    <t>всего завтрак</t>
  </si>
  <si>
    <t>нетто</t>
  </si>
  <si>
    <t>Ед. изм.</t>
  </si>
  <si>
    <t>Всего завтрак</t>
  </si>
  <si>
    <t>Кол-во детей</t>
  </si>
  <si>
    <t>Всего</t>
  </si>
  <si>
    <t>Заказать</t>
  </si>
  <si>
    <t>Итого:</t>
  </si>
  <si>
    <t>I неделя понедельник</t>
  </si>
  <si>
    <t>Составил ведущий технолог МКУ "Управление бухгалтерского учета городского округа</t>
  </si>
  <si>
    <t>Масло сливочное</t>
  </si>
  <si>
    <t>Остатки</t>
  </si>
  <si>
    <t xml:space="preserve">I неделя пятница </t>
  </si>
  <si>
    <t>I неделя четверг</t>
  </si>
  <si>
    <t>Белки</t>
  </si>
  <si>
    <t>Жиры</t>
  </si>
  <si>
    <t>Углеводы</t>
  </si>
  <si>
    <t>Ккал</t>
  </si>
  <si>
    <t>мука пшеничная</t>
  </si>
  <si>
    <t>Суп картофельный с</t>
  </si>
  <si>
    <t>курица</t>
  </si>
  <si>
    <t>вермишель</t>
  </si>
  <si>
    <t>минтай</t>
  </si>
  <si>
    <t>Кофейный напиток</t>
  </si>
  <si>
    <t>По меню</t>
  </si>
  <si>
    <t>Сыр твердый</t>
  </si>
  <si>
    <t>Соль йодированная</t>
  </si>
  <si>
    <t>Свекольник со сметаной</t>
  </si>
  <si>
    <t>Плов из курицы</t>
  </si>
  <si>
    <t>НАИМЕНОВАНИЕ ПРОДУКТОВ</t>
  </si>
  <si>
    <t>Масло растительное, рафинированное</t>
  </si>
  <si>
    <t>Кисель фруктовый (концентрат)</t>
  </si>
  <si>
    <t>Кол-во</t>
  </si>
  <si>
    <t>Лук репчатый (1 сорт)</t>
  </si>
  <si>
    <t>Какао порошок</t>
  </si>
  <si>
    <t>Пюре картофельное</t>
  </si>
  <si>
    <t>творог</t>
  </si>
  <si>
    <t>Лавровый лист</t>
  </si>
  <si>
    <t>лавровый лист</t>
  </si>
  <si>
    <t xml:space="preserve">Борщ из свежей капусты со </t>
  </si>
  <si>
    <t>сметаной</t>
  </si>
  <si>
    <t>Кисель из концентрата</t>
  </si>
  <si>
    <t>кисель</t>
  </si>
  <si>
    <t>Зав.столовой, повар  ____________________________________</t>
  </si>
  <si>
    <t>молоко сгущенное</t>
  </si>
  <si>
    <t>огурцы соленые</t>
  </si>
  <si>
    <t>витамин С</t>
  </si>
  <si>
    <t>Мясо птицы (1 категории)</t>
  </si>
  <si>
    <t>Яйцо (1 сорт)</t>
  </si>
  <si>
    <t>Молоко пастеризованное (2,5%)</t>
  </si>
  <si>
    <t>Творог (5%)</t>
  </si>
  <si>
    <t>Капуста белокачанная (1 сорт)</t>
  </si>
  <si>
    <t>Морковь (1 сорт)</t>
  </si>
  <si>
    <t>Свекла (1 сорт)</t>
  </si>
  <si>
    <t>Огурцы консервированные без уксуса (1с)</t>
  </si>
  <si>
    <t>Горошек зеленый (сорт салатный)</t>
  </si>
  <si>
    <t>Томатная паста с содержанием с/в (25-30%)</t>
  </si>
  <si>
    <t>Яблоки свежие (1 сорт)</t>
  </si>
  <si>
    <t>Бананы свежие (1 сорт)</t>
  </si>
  <si>
    <t>Сухофрукты ассорти</t>
  </si>
  <si>
    <t>Повидло фруктовое (1 сорт)</t>
  </si>
  <si>
    <t>Сок фруктовый (1 литр)</t>
  </si>
  <si>
    <t>Мука пшеничная (высший сорт)</t>
  </si>
  <si>
    <t>Дрожжи сухие</t>
  </si>
  <si>
    <t>Кофейный напиток (ячменный)</t>
  </si>
  <si>
    <t>Чай черный (1 сорт)</t>
  </si>
  <si>
    <t>Завтрак</t>
  </si>
  <si>
    <t xml:space="preserve"> Обед</t>
  </si>
  <si>
    <t>Всего обеды</t>
  </si>
  <si>
    <t>Гуляш из говядины</t>
  </si>
  <si>
    <t>Суп картофельный с рисом</t>
  </si>
  <si>
    <t>Рассольник "Ленинградский"</t>
  </si>
  <si>
    <t>крупа перловая</t>
  </si>
  <si>
    <t>крупа гречневая</t>
  </si>
  <si>
    <t>Консервы рыбные (сайра)</t>
  </si>
  <si>
    <t>Каша гречневая гарнир</t>
  </si>
  <si>
    <t>кофе</t>
  </si>
  <si>
    <t>Птица тушеная с соусом</t>
  </si>
  <si>
    <t>куры</t>
  </si>
  <si>
    <t>Какао с молоком</t>
  </si>
  <si>
    <t>какао</t>
  </si>
  <si>
    <t>Фрукты свежие (яблоко)</t>
  </si>
  <si>
    <t>яблоко</t>
  </si>
  <si>
    <t>сгущенным молоком</t>
  </si>
  <si>
    <t xml:space="preserve">Хлеб пшеничный </t>
  </si>
  <si>
    <t>соус</t>
  </si>
  <si>
    <t xml:space="preserve">хлеб </t>
  </si>
  <si>
    <t xml:space="preserve"> Хлеб пшеничный</t>
  </si>
  <si>
    <t>завтрак 1 смена</t>
  </si>
  <si>
    <t>обед 2 смена</t>
  </si>
  <si>
    <t xml:space="preserve">                                       </t>
  </si>
  <si>
    <t>Каша пшенная гарнир</t>
  </si>
  <si>
    <t>пшено</t>
  </si>
  <si>
    <t xml:space="preserve">чай </t>
  </si>
  <si>
    <t>№ рецептуры</t>
  </si>
  <si>
    <t>Дата:</t>
  </si>
  <si>
    <t>Рагу из курицы</t>
  </si>
  <si>
    <t>хлеб зам.сух</t>
  </si>
  <si>
    <t>Суп картофельный с горохом</t>
  </si>
  <si>
    <t>Макароны отварные</t>
  </si>
  <si>
    <t>Котлета  из говядины с соусом</t>
  </si>
  <si>
    <t>Суп картофельный с клецками</t>
  </si>
  <si>
    <t>Бефстроганов из говядины</t>
  </si>
  <si>
    <t xml:space="preserve">макароны </t>
  </si>
  <si>
    <t>со сметаной</t>
  </si>
  <si>
    <t>90/50</t>
  </si>
  <si>
    <t>Запеканка творожная со</t>
  </si>
  <si>
    <t>Салат из соленых огурцов</t>
  </si>
  <si>
    <t>Салат из зеленого горошка</t>
  </si>
  <si>
    <t>зеленый горошек</t>
  </si>
  <si>
    <t>Салат из свеклы с зеленым горошком</t>
  </si>
  <si>
    <t>горошком</t>
  </si>
  <si>
    <t>Салат из свеклы</t>
  </si>
  <si>
    <t>горошек зеленый</t>
  </si>
  <si>
    <t>соль йод</t>
  </si>
  <si>
    <t>Прохладный КБР" Калинина А.Е.</t>
  </si>
  <si>
    <t>ед. изм.</t>
  </si>
  <si>
    <t>Исп. вед технолог по пит.</t>
  </si>
  <si>
    <t>Калинина А.Е.</t>
  </si>
  <si>
    <t>Каша гречневая молочная</t>
  </si>
  <si>
    <t>вермишелью</t>
  </si>
  <si>
    <t>Яйцо отварное</t>
  </si>
  <si>
    <t>Икра кабачковая</t>
  </si>
  <si>
    <t>икра</t>
  </si>
  <si>
    <t>Булочка "Домашняя"</t>
  </si>
  <si>
    <t>дрожжи</t>
  </si>
  <si>
    <t>Котлета из говядины с соусом</t>
  </si>
  <si>
    <t>гречкой</t>
  </si>
  <si>
    <t>гречка</t>
  </si>
  <si>
    <t>хлеб замена сух</t>
  </si>
  <si>
    <t>Каша пшеничная гарнир</t>
  </si>
  <si>
    <t>крупа пшеничная</t>
  </si>
  <si>
    <t>Сахар-песок</t>
  </si>
  <si>
    <t>Печенье в ассортименте</t>
  </si>
  <si>
    <t>Сыр голландский</t>
  </si>
  <si>
    <t>200/10</t>
  </si>
  <si>
    <t>Таблица расчета необходимого количества продуктов питания для МБОУ СОШ № на 2 кв. 2023 г.</t>
  </si>
  <si>
    <t>Мясо говядины без кости (1категории)</t>
  </si>
  <si>
    <t>Картофель (1 сорт)</t>
  </si>
  <si>
    <t>Икра кабачковая для дет. питания</t>
  </si>
  <si>
    <t>Сметана (15%)</t>
  </si>
  <si>
    <t>Молоко сгущенное цельное с сахаром (8,5%)</t>
  </si>
  <si>
    <t>Рыба с/м (1 сорт), минтай</t>
  </si>
  <si>
    <t>Крупа гречневая, в инд. уп.</t>
  </si>
  <si>
    <t>Крупа манная (1 сорт), в инд. уп.</t>
  </si>
  <si>
    <t>Рис (1 сорт), в инд. уп.</t>
  </si>
  <si>
    <t>Крупа пшеничная (1 сорт), в инд. уп.</t>
  </si>
  <si>
    <t>Пшено (1 сорт), в инд. уп.</t>
  </si>
  <si>
    <t>Горох шлифованный, в инд. уп.</t>
  </si>
  <si>
    <t>Крупа перловая, в инд. уп.</t>
  </si>
  <si>
    <t>Крупа ячневая, в инд. уп.</t>
  </si>
  <si>
    <t>Хлопья "Геркулес", в инд. уп.</t>
  </si>
  <si>
    <t>Хлеб "Городской новый"</t>
  </si>
  <si>
    <t>Пряник 1 сорт</t>
  </si>
  <si>
    <t>Булочка "Бархатная"</t>
  </si>
  <si>
    <t>крошка</t>
  </si>
  <si>
    <t>птица отварная</t>
  </si>
  <si>
    <t>Пицца "Школьная"</t>
  </si>
  <si>
    <t>крупа рисовая</t>
  </si>
  <si>
    <t>Каша рисовая молочная</t>
  </si>
  <si>
    <t>Тефтели рыбные с соусом</t>
  </si>
  <si>
    <t>Шницель из говядины с соусом</t>
  </si>
  <si>
    <t>Котлеты рыбные "Любительские"</t>
  </si>
  <si>
    <t>70/50</t>
  </si>
  <si>
    <t>Фрикадельки в соусе</t>
  </si>
  <si>
    <t>Каша ячневая гарнир</t>
  </si>
  <si>
    <t>крупа ячневая</t>
  </si>
  <si>
    <t>Фрукты свежие (банан)</t>
  </si>
  <si>
    <t>банан</t>
  </si>
  <si>
    <t>Примерные остатки продуктов на 2 квартал 2023 г. СОШ №</t>
  </si>
  <si>
    <t>250/10</t>
  </si>
  <si>
    <t>Пряник</t>
  </si>
  <si>
    <t>пряник</t>
  </si>
  <si>
    <t>печенье</t>
  </si>
  <si>
    <t>Сок фруктовый</t>
  </si>
  <si>
    <t>сок</t>
  </si>
  <si>
    <t>2 квартал начальная школа 2023 г.</t>
  </si>
  <si>
    <t>Конфеты шоколадные</t>
  </si>
  <si>
    <t>85/50</t>
  </si>
  <si>
    <t>100/50</t>
  </si>
  <si>
    <t>200/30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</si>
</sst>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0.0000"/>
    <numFmt numFmtId="176" formatCode="0.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  <font>
      <sz val="10"/>
      <color rgb="FFFF0000"/>
      <name val="Arial Cyr"/>
      <family val="0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2" fontId="6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52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wrapText="1"/>
    </xf>
    <xf numFmtId="2" fontId="4" fillId="0" borderId="10" xfId="0" applyNumberFormat="1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2" fontId="9" fillId="33" borderId="10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47" fillId="0" borderId="0" xfId="0" applyFont="1" applyAlignment="1">
      <alignment wrapText="1"/>
    </xf>
    <xf numFmtId="0" fontId="3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left" wrapText="1"/>
    </xf>
    <xf numFmtId="2" fontId="4" fillId="34" borderId="10" xfId="0" applyNumberFormat="1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10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wrapText="1"/>
    </xf>
    <xf numFmtId="0" fontId="10" fillId="34" borderId="1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0" fontId="3" fillId="34" borderId="0" xfId="0" applyFont="1" applyFill="1" applyAlignment="1">
      <alignment vertical="center"/>
    </xf>
    <xf numFmtId="0" fontId="4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2" fontId="8" fillId="33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8" fillId="0" borderId="10" xfId="0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9" fontId="3" fillId="0" borderId="0" xfId="57" applyFont="1" applyAlignment="1">
      <alignment/>
    </xf>
    <xf numFmtId="9" fontId="4" fillId="0" borderId="10" xfId="57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2" fontId="10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10" fillId="35" borderId="10" xfId="0" applyNumberFormat="1" applyFont="1" applyFill="1" applyBorder="1" applyAlignment="1">
      <alignment/>
    </xf>
    <xf numFmtId="2" fontId="10" fillId="36" borderId="10" xfId="0" applyNumberFormat="1" applyFont="1" applyFill="1" applyBorder="1" applyAlignment="1">
      <alignment/>
    </xf>
    <xf numFmtId="2" fontId="10" fillId="35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4" fillId="34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3" fillId="0" borderId="11" xfId="0" applyFont="1" applyBorder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2" fontId="49" fillId="0" borderId="10" xfId="0" applyNumberFormat="1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49" fillId="0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2" fontId="3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wrapText="1"/>
    </xf>
    <xf numFmtId="0" fontId="0" fillId="0" borderId="10" xfId="0" applyNumberFormat="1" applyFill="1" applyBorder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9" fillId="11" borderId="0" xfId="0" applyFont="1" applyFill="1" applyAlignment="1">
      <alignment horizontal="center"/>
    </xf>
    <xf numFmtId="0" fontId="3" fillId="0" borderId="14" xfId="0" applyFont="1" applyBorder="1" applyAlignment="1">
      <alignment/>
    </xf>
    <xf numFmtId="2" fontId="10" fillId="34" borderId="11" xfId="0" applyNumberFormat="1" applyFont="1" applyFill="1" applyBorder="1" applyAlignment="1">
      <alignment horizontal="right" wrapText="1"/>
    </xf>
    <xf numFmtId="2" fontId="10" fillId="34" borderId="19" xfId="0" applyNumberFormat="1" applyFont="1" applyFill="1" applyBorder="1" applyAlignment="1">
      <alignment horizontal="right" wrapText="1"/>
    </xf>
    <xf numFmtId="2" fontId="10" fillId="34" borderId="13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3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485"/>
  <sheetViews>
    <sheetView tabSelected="1" workbookViewId="0" topLeftCell="A1">
      <selection activeCell="D2" sqref="D2:G2"/>
    </sheetView>
  </sheetViews>
  <sheetFormatPr defaultColWidth="9.00390625" defaultRowHeight="12.75"/>
  <cols>
    <col min="1" max="1" width="5.375" style="1" customWidth="1"/>
    <col min="2" max="2" width="38.00390625" style="1" customWidth="1"/>
    <col min="3" max="3" width="8.25390625" style="1" customWidth="1"/>
    <col min="4" max="4" width="19.75390625" style="1" customWidth="1"/>
    <col min="5" max="6" width="10.625" style="1" customWidth="1"/>
    <col min="7" max="7" width="10.75390625" style="1" customWidth="1"/>
    <col min="8" max="8" width="12.125" style="1" customWidth="1"/>
    <col min="9" max="9" width="10.25390625" style="1" customWidth="1"/>
    <col min="10" max="10" width="9.25390625" style="1" customWidth="1"/>
    <col min="11" max="11" width="11.375" style="1" customWidth="1"/>
    <col min="12" max="12" width="9.875" style="1" customWidth="1"/>
    <col min="13" max="13" width="13.00390625" style="162" customWidth="1"/>
    <col min="14" max="14" width="11.00390625" style="160" customWidth="1"/>
    <col min="15" max="15" width="41.875" style="1" customWidth="1"/>
    <col min="16" max="16" width="5.25390625" style="1" customWidth="1"/>
    <col min="17" max="17" width="10.375" style="1" customWidth="1"/>
    <col min="18" max="18" width="9.125" style="1" customWidth="1"/>
    <col min="19" max="19" width="13.25390625" style="1" customWidth="1"/>
    <col min="20" max="16384" width="9.125" style="1" customWidth="1"/>
  </cols>
  <sheetData>
    <row r="1" spans="2:5" ht="15">
      <c r="B1" s="66"/>
      <c r="C1" s="74"/>
      <c r="D1" s="74"/>
      <c r="E1" s="71"/>
    </row>
    <row r="2" spans="2:9" ht="15">
      <c r="B2" s="158"/>
      <c r="C2" s="158"/>
      <c r="D2" s="255" t="s">
        <v>232</v>
      </c>
      <c r="E2" s="249"/>
      <c r="F2" s="249"/>
      <c r="G2" s="249"/>
      <c r="I2" s="71"/>
    </row>
    <row r="3" spans="1:13" ht="15">
      <c r="A3" s="21"/>
      <c r="B3" s="64" t="s">
        <v>64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163"/>
    </row>
    <row r="4" spans="1:13" ht="29.25" customHeight="1">
      <c r="A4" s="247" t="s">
        <v>3</v>
      </c>
      <c r="B4" s="8"/>
      <c r="C4" s="196" t="s">
        <v>4</v>
      </c>
      <c r="D4" s="247" t="s">
        <v>29</v>
      </c>
      <c r="E4" s="101" t="s">
        <v>12</v>
      </c>
      <c r="F4" s="101" t="s">
        <v>57</v>
      </c>
      <c r="G4" s="101" t="s">
        <v>30</v>
      </c>
      <c r="H4" s="101" t="s">
        <v>31</v>
      </c>
      <c r="I4" s="250" t="s">
        <v>70</v>
      </c>
      <c r="J4" s="250" t="s">
        <v>71</v>
      </c>
      <c r="K4" s="250" t="s">
        <v>72</v>
      </c>
      <c r="L4" s="250" t="s">
        <v>73</v>
      </c>
      <c r="M4" s="245" t="s">
        <v>150</v>
      </c>
    </row>
    <row r="5" spans="1:17" ht="15">
      <c r="A5" s="252"/>
      <c r="B5" s="72" t="s">
        <v>144</v>
      </c>
      <c r="C5" s="5" t="s">
        <v>32</v>
      </c>
      <c r="D5" s="251"/>
      <c r="E5" s="5" t="s">
        <v>32</v>
      </c>
      <c r="F5" s="5" t="s">
        <v>32</v>
      </c>
      <c r="G5" s="5" t="s">
        <v>33</v>
      </c>
      <c r="H5" s="5" t="s">
        <v>34</v>
      </c>
      <c r="I5" s="246"/>
      <c r="J5" s="246"/>
      <c r="K5" s="246"/>
      <c r="L5" s="246"/>
      <c r="M5" s="253"/>
      <c r="O5" s="60" t="s">
        <v>104</v>
      </c>
      <c r="P5" s="6" t="s">
        <v>48</v>
      </c>
      <c r="Q5" s="52">
        <v>9.5</v>
      </c>
    </row>
    <row r="6" spans="1:17" ht="15">
      <c r="A6" s="5">
        <v>1</v>
      </c>
      <c r="B6" s="171" t="s">
        <v>215</v>
      </c>
      <c r="C6" s="186">
        <v>200</v>
      </c>
      <c r="D6" s="187" t="s">
        <v>10</v>
      </c>
      <c r="E6" s="173">
        <v>150</v>
      </c>
      <c r="F6" s="173">
        <v>150</v>
      </c>
      <c r="G6" s="178">
        <f>Q10</f>
        <v>70</v>
      </c>
      <c r="H6" s="16">
        <f>E6*G6/1000</f>
        <v>10.5</v>
      </c>
      <c r="I6" s="16"/>
      <c r="J6" s="16"/>
      <c r="K6" s="16"/>
      <c r="L6" s="16"/>
      <c r="M6" s="45"/>
      <c r="N6" s="161"/>
      <c r="O6" s="61" t="s">
        <v>193</v>
      </c>
      <c r="P6" s="6" t="s">
        <v>44</v>
      </c>
      <c r="Q6" s="6">
        <v>607</v>
      </c>
    </row>
    <row r="7" spans="1:17" ht="15" customHeight="1">
      <c r="A7" s="5"/>
      <c r="B7" s="185"/>
      <c r="C7" s="186"/>
      <c r="D7" s="187" t="s">
        <v>214</v>
      </c>
      <c r="E7" s="173">
        <v>25</v>
      </c>
      <c r="F7" s="175">
        <v>25</v>
      </c>
      <c r="G7" s="178">
        <f>Q49</f>
        <v>98</v>
      </c>
      <c r="H7" s="16">
        <f aca="true" t="shared" si="0" ref="H7:H17">E7*G7/1000</f>
        <v>2.45</v>
      </c>
      <c r="I7" s="16"/>
      <c r="J7" s="16"/>
      <c r="K7" s="16"/>
      <c r="L7" s="16"/>
      <c r="M7" s="45"/>
      <c r="N7" s="161"/>
      <c r="O7" s="61" t="s">
        <v>103</v>
      </c>
      <c r="P7" s="6" t="s">
        <v>44</v>
      </c>
      <c r="Q7" s="6">
        <v>257</v>
      </c>
    </row>
    <row r="8" spans="1:17" ht="15" customHeight="1">
      <c r="A8" s="5"/>
      <c r="B8" s="185"/>
      <c r="C8" s="186"/>
      <c r="D8" s="187" t="s">
        <v>2</v>
      </c>
      <c r="E8" s="173">
        <v>4</v>
      </c>
      <c r="F8" s="175">
        <v>4</v>
      </c>
      <c r="G8" s="178">
        <f>Q56</f>
        <v>85</v>
      </c>
      <c r="H8" s="16">
        <f t="shared" si="0"/>
        <v>0.34</v>
      </c>
      <c r="I8" s="78"/>
      <c r="J8" s="78"/>
      <c r="K8" s="78"/>
      <c r="L8" s="78"/>
      <c r="M8" s="45"/>
      <c r="N8" s="161"/>
      <c r="O8" s="61"/>
      <c r="P8" s="6"/>
      <c r="Q8" s="6"/>
    </row>
    <row r="9" spans="1:17" ht="15" customHeight="1">
      <c r="A9" s="5"/>
      <c r="B9" s="185"/>
      <c r="C9" s="186"/>
      <c r="D9" s="187" t="s">
        <v>28</v>
      </c>
      <c r="E9" s="173">
        <v>5</v>
      </c>
      <c r="F9" s="175">
        <v>5</v>
      </c>
      <c r="G9" s="178">
        <f>Q11</f>
        <v>490</v>
      </c>
      <c r="H9" s="16">
        <f t="shared" si="0"/>
        <v>2.45</v>
      </c>
      <c r="I9" s="176">
        <v>6.2</v>
      </c>
      <c r="J9" s="176">
        <v>8.98</v>
      </c>
      <c r="K9" s="176">
        <v>27.19</v>
      </c>
      <c r="L9" s="176">
        <v>214.38</v>
      </c>
      <c r="M9" s="177">
        <v>411</v>
      </c>
      <c r="N9" s="161">
        <f>(I9+K9)*4+J9*9</f>
        <v>214.38</v>
      </c>
      <c r="O9" s="61"/>
      <c r="P9" s="6"/>
      <c r="Q9" s="6"/>
    </row>
    <row r="10" spans="1:17" ht="15" customHeight="1">
      <c r="A10" s="5">
        <v>2</v>
      </c>
      <c r="B10" s="185" t="s">
        <v>180</v>
      </c>
      <c r="C10" s="186">
        <v>110</v>
      </c>
      <c r="D10" s="187" t="s">
        <v>74</v>
      </c>
      <c r="E10" s="187">
        <v>79</v>
      </c>
      <c r="F10" s="187">
        <v>79</v>
      </c>
      <c r="G10" s="178">
        <f>Q45</f>
        <v>38</v>
      </c>
      <c r="H10" s="16">
        <f t="shared" si="0"/>
        <v>3</v>
      </c>
      <c r="I10" s="78"/>
      <c r="J10" s="78"/>
      <c r="K10" s="78"/>
      <c r="L10" s="78"/>
      <c r="M10" s="203"/>
      <c r="N10" s="161"/>
      <c r="O10" s="61" t="s">
        <v>105</v>
      </c>
      <c r="P10" s="6" t="s">
        <v>45</v>
      </c>
      <c r="Q10" s="6">
        <v>70</v>
      </c>
    </row>
    <row r="11" spans="1:17" ht="15" customHeight="1">
      <c r="A11" s="5"/>
      <c r="B11" s="185"/>
      <c r="C11" s="186"/>
      <c r="D11" s="187" t="s">
        <v>2</v>
      </c>
      <c r="E11" s="187">
        <v>8</v>
      </c>
      <c r="F11" s="187">
        <v>8</v>
      </c>
      <c r="G11" s="178">
        <f>Q56</f>
        <v>85</v>
      </c>
      <c r="H11" s="16">
        <f t="shared" si="0"/>
        <v>0.68</v>
      </c>
      <c r="I11" s="205"/>
      <c r="J11" s="205"/>
      <c r="K11" s="205"/>
      <c r="L11" s="202"/>
      <c r="M11" s="206"/>
      <c r="N11" s="161"/>
      <c r="O11" s="60" t="s">
        <v>46</v>
      </c>
      <c r="P11" s="6" t="s">
        <v>44</v>
      </c>
      <c r="Q11" s="6">
        <v>490</v>
      </c>
    </row>
    <row r="12" spans="1:17" ht="15" customHeight="1">
      <c r="A12" s="5"/>
      <c r="B12" s="185"/>
      <c r="C12" s="186"/>
      <c r="D12" s="187" t="s">
        <v>10</v>
      </c>
      <c r="E12" s="187">
        <v>30</v>
      </c>
      <c r="F12" s="187">
        <v>30</v>
      </c>
      <c r="G12" s="178">
        <f>Q10</f>
        <v>70</v>
      </c>
      <c r="H12" s="16">
        <f t="shared" si="0"/>
        <v>2.1</v>
      </c>
      <c r="I12" s="16"/>
      <c r="J12" s="16"/>
      <c r="K12" s="16"/>
      <c r="L12" s="16"/>
      <c r="M12" s="45"/>
      <c r="N12" s="161"/>
      <c r="O12" s="61" t="s">
        <v>196</v>
      </c>
      <c r="P12" s="6" t="s">
        <v>44</v>
      </c>
      <c r="Q12" s="6">
        <v>182</v>
      </c>
    </row>
    <row r="13" spans="1:17" ht="15">
      <c r="A13" s="5"/>
      <c r="B13" s="185"/>
      <c r="C13" s="186"/>
      <c r="D13" s="187" t="s">
        <v>11</v>
      </c>
      <c r="E13" s="187">
        <v>0.22</v>
      </c>
      <c r="F13" s="187">
        <v>0.22</v>
      </c>
      <c r="G13" s="217">
        <f>Q5</f>
        <v>9.5</v>
      </c>
      <c r="H13" s="16">
        <f>E13*G13</f>
        <v>2.09</v>
      </c>
      <c r="I13" s="16"/>
      <c r="J13" s="16"/>
      <c r="K13" s="16"/>
      <c r="L13" s="16"/>
      <c r="M13" s="45"/>
      <c r="N13" s="161"/>
      <c r="O13" s="61" t="s">
        <v>106</v>
      </c>
      <c r="P13" s="6" t="s">
        <v>44</v>
      </c>
      <c r="Q13" s="6">
        <v>203</v>
      </c>
    </row>
    <row r="14" spans="1:17" ht="15">
      <c r="A14" s="5"/>
      <c r="B14" s="185"/>
      <c r="C14" s="186"/>
      <c r="D14" s="187" t="s">
        <v>181</v>
      </c>
      <c r="E14" s="187">
        <v>1</v>
      </c>
      <c r="F14" s="187">
        <v>1</v>
      </c>
      <c r="G14" s="5">
        <f>Q59</f>
        <v>377</v>
      </c>
      <c r="H14" s="16">
        <f t="shared" si="0"/>
        <v>0.38</v>
      </c>
      <c r="I14" s="78"/>
      <c r="J14" s="78"/>
      <c r="K14" s="78"/>
      <c r="L14" s="78"/>
      <c r="M14" s="45"/>
      <c r="N14" s="161"/>
      <c r="O14" s="61" t="s">
        <v>47</v>
      </c>
      <c r="P14" s="6" t="s">
        <v>44</v>
      </c>
      <c r="Q14" s="6">
        <v>528</v>
      </c>
    </row>
    <row r="15" spans="1:17" ht="15">
      <c r="A15" s="5"/>
      <c r="B15" s="185"/>
      <c r="C15" s="186"/>
      <c r="D15" s="187" t="s">
        <v>26</v>
      </c>
      <c r="E15" s="187">
        <v>7</v>
      </c>
      <c r="F15" s="187">
        <v>7</v>
      </c>
      <c r="G15" s="5">
        <f>Q39</f>
        <v>138</v>
      </c>
      <c r="H15" s="16">
        <f t="shared" si="0"/>
        <v>0.97</v>
      </c>
      <c r="I15" s="207">
        <v>8.54</v>
      </c>
      <c r="J15" s="205">
        <v>5.59</v>
      </c>
      <c r="K15" s="205">
        <v>57.51</v>
      </c>
      <c r="L15" s="16">
        <v>314.51</v>
      </c>
      <c r="M15" s="188">
        <v>466</v>
      </c>
      <c r="N15" s="161">
        <f>(I15+K15)*4+J15*9</f>
        <v>314.51</v>
      </c>
      <c r="O15" s="61"/>
      <c r="P15" s="6"/>
      <c r="Q15" s="6"/>
    </row>
    <row r="16" spans="1:17" ht="15">
      <c r="A16" s="5">
        <v>3</v>
      </c>
      <c r="B16" s="185" t="s">
        <v>190</v>
      </c>
      <c r="C16" s="186">
        <v>25</v>
      </c>
      <c r="D16" s="187" t="s">
        <v>23</v>
      </c>
      <c r="E16" s="187">
        <v>27</v>
      </c>
      <c r="F16" s="187">
        <v>25</v>
      </c>
      <c r="G16" s="5">
        <f>Q14</f>
        <v>528</v>
      </c>
      <c r="H16" s="16">
        <f t="shared" si="0"/>
        <v>14.26</v>
      </c>
      <c r="I16" s="207">
        <v>6.1</v>
      </c>
      <c r="J16" s="205">
        <v>6.88</v>
      </c>
      <c r="K16" s="205">
        <v>0.58</v>
      </c>
      <c r="L16" s="16">
        <v>88.64</v>
      </c>
      <c r="M16" s="188"/>
      <c r="N16" s="161">
        <f>(I16+K16)*4+J16*9</f>
        <v>88.64</v>
      </c>
      <c r="O16" s="61"/>
      <c r="P16" s="6"/>
      <c r="Q16" s="6"/>
    </row>
    <row r="17" spans="1:17" ht="15">
      <c r="A17" s="5">
        <v>4</v>
      </c>
      <c r="B17" s="185" t="s">
        <v>66</v>
      </c>
      <c r="C17" s="186">
        <v>10</v>
      </c>
      <c r="D17" s="187" t="s">
        <v>28</v>
      </c>
      <c r="E17" s="187">
        <v>10</v>
      </c>
      <c r="F17" s="187">
        <v>10</v>
      </c>
      <c r="G17" s="5">
        <f>Q11</f>
        <v>490</v>
      </c>
      <c r="H17" s="16">
        <f t="shared" si="0"/>
        <v>4.9</v>
      </c>
      <c r="I17" s="78">
        <v>0.04</v>
      </c>
      <c r="J17" s="78">
        <v>7.85</v>
      </c>
      <c r="K17" s="78">
        <v>0.05</v>
      </c>
      <c r="L17" s="78">
        <v>71.01</v>
      </c>
      <c r="M17" s="45">
        <v>14</v>
      </c>
      <c r="N17" s="161">
        <f>(I17+K17)*4+J17*9</f>
        <v>71.01</v>
      </c>
      <c r="O17" s="61"/>
      <c r="P17" s="6"/>
      <c r="Q17" s="6"/>
    </row>
    <row r="18" spans="1:17" ht="15" customHeight="1">
      <c r="A18" s="5">
        <v>5</v>
      </c>
      <c r="B18" s="216" t="s">
        <v>79</v>
      </c>
      <c r="C18" s="5">
        <v>200</v>
      </c>
      <c r="D18" s="5" t="s">
        <v>132</v>
      </c>
      <c r="E18" s="5">
        <v>2</v>
      </c>
      <c r="F18" s="5">
        <v>2</v>
      </c>
      <c r="G18" s="5">
        <f>Q62</f>
        <v>480</v>
      </c>
      <c r="H18" s="16">
        <f>E18*G18/1000</f>
        <v>0.96</v>
      </c>
      <c r="I18" s="78"/>
      <c r="J18" s="78"/>
      <c r="K18" s="78"/>
      <c r="L18" s="78"/>
      <c r="M18" s="45"/>
      <c r="N18" s="161"/>
      <c r="O18" s="61"/>
      <c r="P18" s="6"/>
      <c r="Q18" s="6"/>
    </row>
    <row r="19" spans="1:17" ht="15" customHeight="1">
      <c r="A19" s="5"/>
      <c r="B19" s="216"/>
      <c r="C19" s="5"/>
      <c r="D19" s="5" t="s">
        <v>2</v>
      </c>
      <c r="E19" s="5">
        <v>11</v>
      </c>
      <c r="F19" s="5">
        <v>11</v>
      </c>
      <c r="G19" s="5">
        <f>Q56</f>
        <v>85</v>
      </c>
      <c r="H19" s="16">
        <f>E19*G19/1000</f>
        <v>0.94</v>
      </c>
      <c r="I19" s="78"/>
      <c r="J19" s="78"/>
      <c r="K19" s="78"/>
      <c r="L19" s="78"/>
      <c r="M19" s="45"/>
      <c r="N19" s="161"/>
      <c r="O19" s="61"/>
      <c r="P19" s="6"/>
      <c r="Q19" s="6"/>
    </row>
    <row r="20" spans="1:17" ht="15" customHeight="1">
      <c r="A20" s="5"/>
      <c r="B20" s="216"/>
      <c r="C20" s="5"/>
      <c r="D20" s="5" t="s">
        <v>10</v>
      </c>
      <c r="E20" s="5">
        <v>95</v>
      </c>
      <c r="F20" s="5">
        <v>95</v>
      </c>
      <c r="G20" s="5">
        <f>Q10</f>
        <v>70</v>
      </c>
      <c r="H20" s="16">
        <f>E20*G20/1000</f>
        <v>6.65</v>
      </c>
      <c r="I20" s="16">
        <v>2.92</v>
      </c>
      <c r="J20" s="16">
        <v>3.59</v>
      </c>
      <c r="K20" s="16">
        <v>20.25</v>
      </c>
      <c r="L20" s="16">
        <v>124.99</v>
      </c>
      <c r="M20" s="45">
        <v>1024</v>
      </c>
      <c r="N20" s="161">
        <f>(I20+K20)*4+J20*9</f>
        <v>124.99</v>
      </c>
      <c r="O20" s="61"/>
      <c r="P20" s="6"/>
      <c r="Q20" s="6"/>
    </row>
    <row r="21" spans="1:17" s="30" customFormat="1" ht="15" customHeight="1">
      <c r="A21" s="5">
        <v>6</v>
      </c>
      <c r="B21" s="199" t="s">
        <v>223</v>
      </c>
      <c r="C21" s="12">
        <v>105</v>
      </c>
      <c r="D21" s="12" t="s">
        <v>224</v>
      </c>
      <c r="E21" s="5">
        <v>105</v>
      </c>
      <c r="F21" s="5"/>
      <c r="G21" s="5">
        <f>Q34</f>
        <v>150</v>
      </c>
      <c r="H21" s="16">
        <f>E21*G21/1000</f>
        <v>15.75</v>
      </c>
      <c r="I21" s="16">
        <v>1.58</v>
      </c>
      <c r="J21" s="16">
        <v>0.53</v>
      </c>
      <c r="K21" s="16">
        <v>8.4</v>
      </c>
      <c r="L21" s="16">
        <v>44.69</v>
      </c>
      <c r="M21" s="45">
        <v>368</v>
      </c>
      <c r="N21" s="161">
        <f>(I21+K21)*4+J21*9</f>
        <v>44.69</v>
      </c>
      <c r="O21" s="61" t="s">
        <v>197</v>
      </c>
      <c r="P21" s="6" t="s">
        <v>44</v>
      </c>
      <c r="Q21" s="6">
        <v>240</v>
      </c>
    </row>
    <row r="22" spans="1:17" s="30" customFormat="1" ht="15" customHeight="1">
      <c r="A22" s="5"/>
      <c r="B22" s="11"/>
      <c r="C22" s="12"/>
      <c r="D22" s="5" t="s">
        <v>170</v>
      </c>
      <c r="E22" s="5">
        <v>2</v>
      </c>
      <c r="F22" s="5">
        <v>2</v>
      </c>
      <c r="G22" s="5">
        <f>Q60</f>
        <v>24</v>
      </c>
      <c r="H22" s="16">
        <f>E22*G22/1000</f>
        <v>0.05</v>
      </c>
      <c r="I22" s="16"/>
      <c r="J22" s="16"/>
      <c r="K22" s="16"/>
      <c r="L22" s="16"/>
      <c r="M22" s="45"/>
      <c r="N22" s="161"/>
      <c r="O22" s="61" t="s">
        <v>194</v>
      </c>
      <c r="P22" s="6" t="s">
        <v>44</v>
      </c>
      <c r="Q22" s="6">
        <v>57</v>
      </c>
    </row>
    <row r="23" spans="1:17" s="30" customFormat="1" ht="15" customHeight="1">
      <c r="A23" s="5"/>
      <c r="B23" s="11"/>
      <c r="C23" s="12"/>
      <c r="D23" s="5"/>
      <c r="E23" s="5"/>
      <c r="F23" s="5"/>
      <c r="G23" s="5"/>
      <c r="H23" s="16"/>
      <c r="I23" s="16"/>
      <c r="J23" s="16"/>
      <c r="K23" s="16"/>
      <c r="L23" s="16"/>
      <c r="M23" s="45"/>
      <c r="N23" s="161"/>
      <c r="O23" s="61" t="s">
        <v>107</v>
      </c>
      <c r="P23" s="6" t="s">
        <v>44</v>
      </c>
      <c r="Q23" s="6">
        <v>47</v>
      </c>
    </row>
    <row r="24" spans="1:17" ht="15" customHeight="1">
      <c r="A24" s="2"/>
      <c r="B24" s="14"/>
      <c r="C24" s="210">
        <f>SUM(C6:C23)</f>
        <v>650</v>
      </c>
      <c r="D24" s="48"/>
      <c r="E24" s="48"/>
      <c r="F24" s="48"/>
      <c r="G24" s="5"/>
      <c r="H24" s="70">
        <f>SUM(H6:H23)</f>
        <v>68.47</v>
      </c>
      <c r="I24" s="70">
        <f>SUM(I6:I23)</f>
        <v>25.38</v>
      </c>
      <c r="J24" s="70">
        <f>SUM(J6:J23)</f>
        <v>33.42</v>
      </c>
      <c r="K24" s="70">
        <f>SUM(K6:K23)</f>
        <v>113.98</v>
      </c>
      <c r="L24" s="70">
        <f>SUM(L6:L23)</f>
        <v>858.22</v>
      </c>
      <c r="M24" s="152"/>
      <c r="N24" s="161">
        <f>(I24+K24)*4+J24*9</f>
        <v>858.22</v>
      </c>
      <c r="O24" s="61" t="s">
        <v>89</v>
      </c>
      <c r="P24" s="6" t="s">
        <v>44</v>
      </c>
      <c r="Q24" s="6">
        <v>46</v>
      </c>
    </row>
    <row r="25" spans="1:17" ht="15" customHeight="1">
      <c r="A25" s="5"/>
      <c r="B25" s="73" t="s">
        <v>145</v>
      </c>
      <c r="C25" s="8"/>
      <c r="D25" s="8"/>
      <c r="E25" s="5"/>
      <c r="F25" s="5"/>
      <c r="G25" s="5"/>
      <c r="H25" s="38"/>
      <c r="I25" s="16"/>
      <c r="J25" s="16"/>
      <c r="K25" s="16"/>
      <c r="L25" s="16"/>
      <c r="M25" s="45"/>
      <c r="N25" s="161"/>
      <c r="O25" s="61" t="s">
        <v>108</v>
      </c>
      <c r="P25" s="6" t="s">
        <v>44</v>
      </c>
      <c r="Q25" s="6">
        <v>66</v>
      </c>
    </row>
    <row r="26" spans="1:17" ht="15">
      <c r="A26" s="5">
        <v>1</v>
      </c>
      <c r="B26" s="3" t="s">
        <v>83</v>
      </c>
      <c r="C26" s="5" t="s">
        <v>226</v>
      </c>
      <c r="D26" s="8" t="s">
        <v>15</v>
      </c>
      <c r="E26" s="5">
        <v>82</v>
      </c>
      <c r="F26" s="5">
        <v>67</v>
      </c>
      <c r="G26" s="5">
        <f>Q26</f>
        <v>45</v>
      </c>
      <c r="H26" s="16">
        <f aca="true" t="shared" si="1" ref="H26:H33">E26*G26/1000</f>
        <v>3.69</v>
      </c>
      <c r="I26" s="16"/>
      <c r="J26" s="16"/>
      <c r="K26" s="16"/>
      <c r="L26" s="16"/>
      <c r="M26" s="45"/>
      <c r="N26" s="161"/>
      <c r="O26" s="61" t="s">
        <v>109</v>
      </c>
      <c r="P26" s="6" t="s">
        <v>44</v>
      </c>
      <c r="Q26" s="6">
        <v>45</v>
      </c>
    </row>
    <row r="27" spans="1:17" ht="15">
      <c r="A27" s="5"/>
      <c r="B27" s="3"/>
      <c r="C27" s="5"/>
      <c r="D27" s="5" t="s">
        <v>7</v>
      </c>
      <c r="E27" s="5">
        <v>68</v>
      </c>
      <c r="F27" s="5">
        <v>44</v>
      </c>
      <c r="G27" s="5">
        <f>Q22</f>
        <v>57</v>
      </c>
      <c r="H27" s="16">
        <f t="shared" si="1"/>
        <v>3.88</v>
      </c>
      <c r="I27" s="16"/>
      <c r="J27" s="16"/>
      <c r="K27" s="16"/>
      <c r="L27" s="16"/>
      <c r="M27" s="45"/>
      <c r="N27" s="161"/>
      <c r="O27" s="60" t="s">
        <v>110</v>
      </c>
      <c r="P27" s="6" t="s">
        <v>44</v>
      </c>
      <c r="Q27" s="6">
        <v>70</v>
      </c>
    </row>
    <row r="28" spans="1:17" ht="15">
      <c r="A28" s="5"/>
      <c r="B28" s="3"/>
      <c r="C28" s="5"/>
      <c r="D28" s="5" t="s">
        <v>8</v>
      </c>
      <c r="E28" s="5">
        <v>13</v>
      </c>
      <c r="F28" s="5">
        <v>10</v>
      </c>
      <c r="G28" s="5">
        <f>Q25</f>
        <v>66</v>
      </c>
      <c r="H28" s="16">
        <f t="shared" si="1"/>
        <v>0.86</v>
      </c>
      <c r="I28" s="16"/>
      <c r="J28" s="16"/>
      <c r="K28" s="16"/>
      <c r="L28" s="16"/>
      <c r="M28" s="45"/>
      <c r="N28" s="161"/>
      <c r="O28" s="61" t="s">
        <v>195</v>
      </c>
      <c r="P28" s="6" t="s">
        <v>44</v>
      </c>
      <c r="Q28" s="6">
        <v>110</v>
      </c>
    </row>
    <row r="29" spans="1:17" ht="15">
      <c r="A29" s="5"/>
      <c r="B29" s="3"/>
      <c r="C29" s="5"/>
      <c r="D29" s="5" t="s">
        <v>24</v>
      </c>
      <c r="E29" s="5">
        <v>12</v>
      </c>
      <c r="F29" s="5">
        <v>10</v>
      </c>
      <c r="G29" s="5">
        <f>Q24</f>
        <v>46</v>
      </c>
      <c r="H29" s="16">
        <f t="shared" si="1"/>
        <v>0.55</v>
      </c>
      <c r="I29" s="16"/>
      <c r="J29" s="16"/>
      <c r="K29" s="16"/>
      <c r="L29" s="16"/>
      <c r="M29" s="45"/>
      <c r="N29" s="161"/>
      <c r="O29" s="61" t="s">
        <v>111</v>
      </c>
      <c r="P29" s="6" t="s">
        <v>44</v>
      </c>
      <c r="Q29" s="6">
        <v>120</v>
      </c>
    </row>
    <row r="30" spans="1:17" ht="14.25" customHeight="1">
      <c r="A30" s="5"/>
      <c r="B30" s="3"/>
      <c r="C30" s="5"/>
      <c r="D30" s="5" t="s">
        <v>26</v>
      </c>
      <c r="E30" s="5">
        <v>5</v>
      </c>
      <c r="F30" s="5">
        <v>5</v>
      </c>
      <c r="G30" s="5">
        <f>Q39</f>
        <v>138</v>
      </c>
      <c r="H30" s="16">
        <f t="shared" si="1"/>
        <v>0.69</v>
      </c>
      <c r="I30" s="16"/>
      <c r="J30" s="16"/>
      <c r="K30" s="16"/>
      <c r="L30" s="16"/>
      <c r="M30" s="45"/>
      <c r="N30" s="161"/>
      <c r="O30" s="61" t="s">
        <v>112</v>
      </c>
      <c r="P30" s="6" t="s">
        <v>44</v>
      </c>
      <c r="Q30" s="6">
        <v>123</v>
      </c>
    </row>
    <row r="31" spans="1:17" ht="15">
      <c r="A31" s="5"/>
      <c r="B31" s="3"/>
      <c r="C31" s="5"/>
      <c r="D31" s="5" t="s">
        <v>18</v>
      </c>
      <c r="E31" s="5">
        <v>3</v>
      </c>
      <c r="F31" s="5">
        <v>3</v>
      </c>
      <c r="G31" s="5">
        <f>Q30</f>
        <v>123</v>
      </c>
      <c r="H31" s="16">
        <f t="shared" si="1"/>
        <v>0.37</v>
      </c>
      <c r="I31" s="16"/>
      <c r="J31" s="16"/>
      <c r="K31" s="16"/>
      <c r="L31" s="16"/>
      <c r="M31" s="45"/>
      <c r="N31" s="161"/>
      <c r="O31" s="61" t="s">
        <v>113</v>
      </c>
      <c r="P31" s="6" t="s">
        <v>44</v>
      </c>
      <c r="Q31" s="6">
        <v>112</v>
      </c>
    </row>
    <row r="32" spans="1:17" ht="15">
      <c r="A32" s="15"/>
      <c r="B32" s="3"/>
      <c r="C32" s="5"/>
      <c r="D32" s="5" t="s">
        <v>2</v>
      </c>
      <c r="E32" s="5">
        <v>1</v>
      </c>
      <c r="F32" s="5">
        <v>1</v>
      </c>
      <c r="G32" s="5">
        <f>Q56</f>
        <v>85</v>
      </c>
      <c r="H32" s="16">
        <f t="shared" si="1"/>
        <v>0.09</v>
      </c>
      <c r="I32" s="16"/>
      <c r="J32" s="16"/>
      <c r="K32" s="16"/>
      <c r="L32" s="16"/>
      <c r="M32" s="184"/>
      <c r="N32" s="161"/>
      <c r="O32" s="61"/>
      <c r="P32" s="6"/>
      <c r="Q32" s="6"/>
    </row>
    <row r="33" spans="1:17" ht="15">
      <c r="A33" s="15"/>
      <c r="B33" s="3"/>
      <c r="C33" s="5"/>
      <c r="D33" s="8" t="s">
        <v>9</v>
      </c>
      <c r="E33" s="5">
        <v>10</v>
      </c>
      <c r="F33" s="5">
        <v>10</v>
      </c>
      <c r="G33" s="5">
        <f>Q12</f>
        <v>182</v>
      </c>
      <c r="H33" s="16">
        <f t="shared" si="1"/>
        <v>1.82</v>
      </c>
      <c r="I33" s="16">
        <v>2</v>
      </c>
      <c r="J33" s="16">
        <v>5.18</v>
      </c>
      <c r="K33" s="16">
        <v>14.83</v>
      </c>
      <c r="L33" s="16">
        <v>113.94</v>
      </c>
      <c r="M33" s="184">
        <v>55</v>
      </c>
      <c r="N33" s="161">
        <f>(I33+K33)*4+J33*9</f>
        <v>113.94</v>
      </c>
      <c r="O33" s="61"/>
      <c r="P33" s="6"/>
      <c r="Q33" s="6"/>
    </row>
    <row r="34" spans="1:17" ht="15">
      <c r="A34" s="5">
        <v>2</v>
      </c>
      <c r="B34" s="216" t="s">
        <v>152</v>
      </c>
      <c r="C34" s="5">
        <v>220</v>
      </c>
      <c r="D34" s="5" t="s">
        <v>76</v>
      </c>
      <c r="E34" s="5">
        <v>99</v>
      </c>
      <c r="F34" s="5">
        <v>89</v>
      </c>
      <c r="G34" s="47">
        <f>Q7</f>
        <v>257</v>
      </c>
      <c r="H34" s="16">
        <f>G34*E34/1000</f>
        <v>25.44</v>
      </c>
      <c r="I34" s="16"/>
      <c r="J34" s="16"/>
      <c r="K34" s="16"/>
      <c r="L34" s="16"/>
      <c r="M34" s="45"/>
      <c r="N34" s="161"/>
      <c r="O34" s="61" t="s">
        <v>114</v>
      </c>
      <c r="P34" s="6" t="s">
        <v>44</v>
      </c>
      <c r="Q34" s="6">
        <v>150</v>
      </c>
    </row>
    <row r="35" spans="1:17" ht="15" customHeight="1">
      <c r="A35" s="5"/>
      <c r="B35" s="3"/>
      <c r="C35" s="5"/>
      <c r="D35" s="5" t="s">
        <v>26</v>
      </c>
      <c r="E35" s="5">
        <v>2</v>
      </c>
      <c r="F35" s="5">
        <v>2</v>
      </c>
      <c r="G35" s="24">
        <f>Q39</f>
        <v>138</v>
      </c>
      <c r="H35" s="16">
        <f>G35*E35/1000</f>
        <v>0.28</v>
      </c>
      <c r="I35" s="16"/>
      <c r="J35" s="16"/>
      <c r="K35" s="16"/>
      <c r="L35" s="16"/>
      <c r="M35" s="45"/>
      <c r="N35" s="161"/>
      <c r="O35" s="61" t="s">
        <v>115</v>
      </c>
      <c r="P35" s="6" t="s">
        <v>44</v>
      </c>
      <c r="Q35" s="6">
        <v>148</v>
      </c>
    </row>
    <row r="36" spans="1:17" ht="15" customHeight="1">
      <c r="A36" s="5"/>
      <c r="B36" s="3"/>
      <c r="C36" s="5"/>
      <c r="D36" s="5" t="s">
        <v>7</v>
      </c>
      <c r="E36" s="5">
        <v>131</v>
      </c>
      <c r="F36" s="5">
        <v>100</v>
      </c>
      <c r="G36" s="24">
        <f>Q22</f>
        <v>57</v>
      </c>
      <c r="H36" s="16">
        <f>G36*E36/1000</f>
        <v>7.47</v>
      </c>
      <c r="I36" s="78"/>
      <c r="J36" s="78"/>
      <c r="K36" s="78"/>
      <c r="L36" s="78"/>
      <c r="M36" s="45"/>
      <c r="N36" s="161"/>
      <c r="O36" s="61" t="s">
        <v>43</v>
      </c>
      <c r="P36" s="6" t="s">
        <v>44</v>
      </c>
      <c r="Q36" s="6">
        <v>260</v>
      </c>
    </row>
    <row r="37" spans="1:17" ht="15" customHeight="1">
      <c r="A37" s="5"/>
      <c r="B37" s="3"/>
      <c r="C37" s="5"/>
      <c r="D37" s="5" t="s">
        <v>8</v>
      </c>
      <c r="E37" s="19">
        <v>26</v>
      </c>
      <c r="F37" s="19">
        <v>23</v>
      </c>
      <c r="G37" s="5">
        <f>Q25</f>
        <v>66</v>
      </c>
      <c r="H37" s="16">
        <f>G37*E37/1000</f>
        <v>1.72</v>
      </c>
      <c r="I37" s="16"/>
      <c r="J37" s="16"/>
      <c r="K37" s="16"/>
      <c r="L37" s="16"/>
      <c r="M37" s="45"/>
      <c r="N37" s="161"/>
      <c r="O37" s="61" t="s">
        <v>116</v>
      </c>
      <c r="P37" s="6" t="s">
        <v>44</v>
      </c>
      <c r="Q37" s="6">
        <v>120</v>
      </c>
    </row>
    <row r="38" spans="1:17" ht="15">
      <c r="A38" s="5"/>
      <c r="B38" s="3"/>
      <c r="C38" s="5"/>
      <c r="D38" s="5" t="s">
        <v>18</v>
      </c>
      <c r="E38" s="19">
        <v>7</v>
      </c>
      <c r="F38" s="19">
        <v>7</v>
      </c>
      <c r="G38" s="19">
        <f>Q30</f>
        <v>123</v>
      </c>
      <c r="H38" s="16">
        <f aca="true" t="shared" si="2" ref="H38:H48">E38*G38/1000</f>
        <v>0.86</v>
      </c>
      <c r="I38" s="16"/>
      <c r="J38" s="16"/>
      <c r="K38" s="16"/>
      <c r="L38" s="16"/>
      <c r="M38" s="45"/>
      <c r="N38" s="161"/>
      <c r="O38" s="61" t="s">
        <v>117</v>
      </c>
      <c r="P38" s="6" t="s">
        <v>45</v>
      </c>
      <c r="Q38" s="6">
        <v>61</v>
      </c>
    </row>
    <row r="39" spans="1:17" ht="15">
      <c r="A39" s="2"/>
      <c r="B39" s="3"/>
      <c r="C39" s="5"/>
      <c r="D39" s="5" t="s">
        <v>6</v>
      </c>
      <c r="E39" s="19">
        <v>14</v>
      </c>
      <c r="F39" s="19">
        <v>13</v>
      </c>
      <c r="G39" s="19">
        <f>Q24</f>
        <v>46</v>
      </c>
      <c r="H39" s="16">
        <f t="shared" si="2"/>
        <v>0.64</v>
      </c>
      <c r="I39" s="78"/>
      <c r="J39" s="78"/>
      <c r="K39" s="78"/>
      <c r="L39" s="78"/>
      <c r="M39" s="45"/>
      <c r="N39" s="161"/>
      <c r="O39" s="61" t="s">
        <v>86</v>
      </c>
      <c r="P39" s="6" t="s">
        <v>44</v>
      </c>
      <c r="Q39" s="6">
        <v>138</v>
      </c>
    </row>
    <row r="40" spans="1:17" ht="15">
      <c r="A40" s="5"/>
      <c r="B40" s="11"/>
      <c r="C40" s="12"/>
      <c r="D40" s="5" t="s">
        <v>26</v>
      </c>
      <c r="E40" s="19">
        <v>6</v>
      </c>
      <c r="F40" s="19">
        <v>6</v>
      </c>
      <c r="G40" s="19">
        <f>Q39</f>
        <v>138</v>
      </c>
      <c r="H40" s="16">
        <f t="shared" si="2"/>
        <v>0.83</v>
      </c>
      <c r="I40" s="16"/>
      <c r="J40" s="16"/>
      <c r="K40" s="16"/>
      <c r="L40" s="16"/>
      <c r="M40" s="45"/>
      <c r="N40" s="161"/>
      <c r="O40" s="61" t="s">
        <v>198</v>
      </c>
      <c r="P40" s="6" t="s">
        <v>44</v>
      </c>
      <c r="Q40" s="6">
        <v>207</v>
      </c>
    </row>
    <row r="41" spans="1:17" ht="15">
      <c r="A41" s="5"/>
      <c r="B41" s="11"/>
      <c r="C41" s="12"/>
      <c r="D41" s="5" t="s">
        <v>74</v>
      </c>
      <c r="E41" s="19">
        <v>1</v>
      </c>
      <c r="F41" s="19">
        <v>1</v>
      </c>
      <c r="G41" s="19">
        <f>Q45</f>
        <v>38</v>
      </c>
      <c r="H41" s="16">
        <f t="shared" si="2"/>
        <v>0.04</v>
      </c>
      <c r="I41" s="205">
        <v>17.35</v>
      </c>
      <c r="J41" s="205">
        <v>18.1</v>
      </c>
      <c r="K41" s="205">
        <v>19.99</v>
      </c>
      <c r="L41" s="78">
        <v>312.26</v>
      </c>
      <c r="M41" s="206">
        <v>412</v>
      </c>
      <c r="N41" s="161">
        <f>(I41+K41)*4+J41*9</f>
        <v>312.26</v>
      </c>
      <c r="O41" s="119" t="s">
        <v>130</v>
      </c>
      <c r="P41" s="6" t="s">
        <v>44</v>
      </c>
      <c r="Q41" s="62">
        <v>485</v>
      </c>
    </row>
    <row r="42" spans="1:17" ht="15">
      <c r="A42" s="5">
        <v>3</v>
      </c>
      <c r="B42" s="11" t="s">
        <v>163</v>
      </c>
      <c r="C42" s="12">
        <v>50</v>
      </c>
      <c r="D42" s="12" t="s">
        <v>101</v>
      </c>
      <c r="E42" s="19">
        <v>55</v>
      </c>
      <c r="F42" s="19">
        <v>54</v>
      </c>
      <c r="G42" s="19">
        <f>Q27</f>
        <v>70</v>
      </c>
      <c r="H42" s="16">
        <f t="shared" si="2"/>
        <v>3.85</v>
      </c>
      <c r="I42" s="205"/>
      <c r="J42" s="205"/>
      <c r="K42" s="205"/>
      <c r="L42" s="78"/>
      <c r="M42" s="206"/>
      <c r="N42" s="161"/>
      <c r="O42" s="119"/>
      <c r="P42" s="6"/>
      <c r="Q42" s="62"/>
    </row>
    <row r="43" spans="1:17" ht="15">
      <c r="A43" s="5"/>
      <c r="B43" s="11"/>
      <c r="C43" s="12"/>
      <c r="D43" s="12" t="s">
        <v>6</v>
      </c>
      <c r="E43" s="19">
        <v>11</v>
      </c>
      <c r="F43" s="19">
        <v>9</v>
      </c>
      <c r="G43" s="19">
        <f>Q24</f>
        <v>46</v>
      </c>
      <c r="H43" s="16">
        <f t="shared" si="2"/>
        <v>0.51</v>
      </c>
      <c r="I43" s="205"/>
      <c r="J43" s="205"/>
      <c r="K43" s="205"/>
      <c r="L43" s="78"/>
      <c r="M43" s="206"/>
      <c r="N43" s="161"/>
      <c r="O43" s="119"/>
      <c r="P43" s="6"/>
      <c r="Q43" s="62"/>
    </row>
    <row r="44" spans="1:17" ht="15">
      <c r="A44" s="5"/>
      <c r="B44" s="11"/>
      <c r="C44" s="12"/>
      <c r="D44" s="12" t="s">
        <v>26</v>
      </c>
      <c r="E44" s="19">
        <v>2</v>
      </c>
      <c r="F44" s="19">
        <v>2</v>
      </c>
      <c r="G44" s="19">
        <f>Q39</f>
        <v>138</v>
      </c>
      <c r="H44" s="16">
        <f t="shared" si="2"/>
        <v>0.28</v>
      </c>
      <c r="I44" s="204">
        <v>0.43</v>
      </c>
      <c r="J44" s="204">
        <v>2.56</v>
      </c>
      <c r="K44" s="204">
        <v>1.31</v>
      </c>
      <c r="L44" s="78">
        <v>30</v>
      </c>
      <c r="M44" s="183">
        <v>19</v>
      </c>
      <c r="N44" s="161"/>
      <c r="O44" s="119"/>
      <c r="P44" s="6"/>
      <c r="Q44" s="62"/>
    </row>
    <row r="45" spans="1:17" ht="15">
      <c r="A45" s="5">
        <v>4</v>
      </c>
      <c r="B45" s="14" t="s">
        <v>35</v>
      </c>
      <c r="C45" s="5">
        <v>50</v>
      </c>
      <c r="D45" s="8" t="s">
        <v>19</v>
      </c>
      <c r="E45" s="5">
        <v>50</v>
      </c>
      <c r="F45" s="5">
        <v>50</v>
      </c>
      <c r="G45" s="5">
        <f>Q66</f>
        <v>48</v>
      </c>
      <c r="H45" s="16">
        <f t="shared" si="2"/>
        <v>2.4</v>
      </c>
      <c r="I45" s="202">
        <v>3.06</v>
      </c>
      <c r="J45" s="202">
        <v>9.54</v>
      </c>
      <c r="K45" s="202">
        <v>18.28</v>
      </c>
      <c r="L45" s="202">
        <f>(I45+K45)*4+J45*9</f>
        <v>171.22</v>
      </c>
      <c r="M45" s="203">
        <v>1</v>
      </c>
      <c r="N45" s="161">
        <f>(I45+K45)*4+J45*9</f>
        <v>171.22</v>
      </c>
      <c r="O45" s="119" t="s">
        <v>118</v>
      </c>
      <c r="P45" s="6" t="s">
        <v>44</v>
      </c>
      <c r="Q45" s="62">
        <v>38</v>
      </c>
    </row>
    <row r="46" spans="1:17" ht="15">
      <c r="A46" s="5">
        <v>5</v>
      </c>
      <c r="B46" s="14" t="s">
        <v>25</v>
      </c>
      <c r="C46" s="5">
        <v>200</v>
      </c>
      <c r="D46" s="5" t="s">
        <v>20</v>
      </c>
      <c r="E46" s="5">
        <v>14</v>
      </c>
      <c r="F46" s="5">
        <v>14</v>
      </c>
      <c r="G46" s="5">
        <f>Q35</f>
        <v>148</v>
      </c>
      <c r="H46" s="16">
        <f t="shared" si="2"/>
        <v>2.07</v>
      </c>
      <c r="I46" s="16"/>
      <c r="J46" s="16"/>
      <c r="K46" s="16"/>
      <c r="L46" s="16"/>
      <c r="M46" s="45"/>
      <c r="N46" s="161"/>
      <c r="O46" s="119" t="s">
        <v>199</v>
      </c>
      <c r="P46" s="6" t="s">
        <v>44</v>
      </c>
      <c r="Q46" s="62">
        <v>122</v>
      </c>
    </row>
    <row r="47" spans="1:17" ht="15">
      <c r="A47" s="5"/>
      <c r="B47" s="14"/>
      <c r="C47" s="5"/>
      <c r="D47" s="5" t="s">
        <v>2</v>
      </c>
      <c r="E47" s="5">
        <v>12</v>
      </c>
      <c r="F47" s="5">
        <v>12</v>
      </c>
      <c r="G47" s="5">
        <f>Q56</f>
        <v>85</v>
      </c>
      <c r="H47" s="16">
        <f t="shared" si="2"/>
        <v>1.02</v>
      </c>
      <c r="I47" s="205">
        <v>0.04</v>
      </c>
      <c r="J47" s="205">
        <v>0</v>
      </c>
      <c r="K47" s="205">
        <v>24.76</v>
      </c>
      <c r="L47" s="202">
        <f>(I47+K47)*4+J47*9</f>
        <v>99.2</v>
      </c>
      <c r="M47" s="203">
        <v>349</v>
      </c>
      <c r="N47" s="161">
        <f>(I47+K47)*4+J47*9</f>
        <v>99.2</v>
      </c>
      <c r="O47" s="119"/>
      <c r="P47" s="6"/>
      <c r="Q47" s="62"/>
    </row>
    <row r="48" spans="1:17" ht="15">
      <c r="A48" s="5">
        <v>6</v>
      </c>
      <c r="B48" s="198" t="s">
        <v>223</v>
      </c>
      <c r="C48" s="5">
        <v>60</v>
      </c>
      <c r="D48" s="5" t="s">
        <v>224</v>
      </c>
      <c r="E48" s="34">
        <v>60</v>
      </c>
      <c r="F48" s="34"/>
      <c r="G48" s="34">
        <f>Q34</f>
        <v>150</v>
      </c>
      <c r="H48" s="16">
        <f t="shared" si="2"/>
        <v>9</v>
      </c>
      <c r="I48" s="16">
        <v>0.9</v>
      </c>
      <c r="J48" s="16">
        <v>0.3</v>
      </c>
      <c r="K48" s="16">
        <v>4.8</v>
      </c>
      <c r="L48" s="16">
        <v>25.5</v>
      </c>
      <c r="M48" s="203">
        <v>368</v>
      </c>
      <c r="N48" s="161">
        <f>(I48+K48)*4+J48*9</f>
        <v>25.5</v>
      </c>
      <c r="O48" s="119" t="s">
        <v>200</v>
      </c>
      <c r="P48" s="6" t="s">
        <v>44</v>
      </c>
      <c r="Q48" s="62">
        <v>56</v>
      </c>
    </row>
    <row r="49" spans="1:17" ht="15">
      <c r="A49" s="5"/>
      <c r="B49" s="14"/>
      <c r="C49" s="5"/>
      <c r="D49" s="5" t="s">
        <v>170</v>
      </c>
      <c r="E49" s="5">
        <v>4</v>
      </c>
      <c r="F49" s="5">
        <v>4</v>
      </c>
      <c r="G49" s="5">
        <f>Q60</f>
        <v>24</v>
      </c>
      <c r="H49" s="16">
        <f>E49*G49/1000</f>
        <v>0.1</v>
      </c>
      <c r="I49" s="16"/>
      <c r="J49" s="16"/>
      <c r="K49" s="16"/>
      <c r="L49" s="16"/>
      <c r="M49" s="45"/>
      <c r="N49" s="161"/>
      <c r="O49" s="119" t="s">
        <v>201</v>
      </c>
      <c r="P49" s="6" t="s">
        <v>44</v>
      </c>
      <c r="Q49" s="62">
        <v>98</v>
      </c>
    </row>
    <row r="50" spans="1:17" ht="15">
      <c r="A50" s="33"/>
      <c r="B50" s="155"/>
      <c r="C50" s="33"/>
      <c r="D50" s="33" t="s">
        <v>94</v>
      </c>
      <c r="E50" s="33">
        <v>0.02</v>
      </c>
      <c r="F50" s="33">
        <v>0.02</v>
      </c>
      <c r="G50" s="33">
        <f>Q65</f>
        <v>483</v>
      </c>
      <c r="H50" s="38">
        <f>E50*G50/1000</f>
        <v>0.01</v>
      </c>
      <c r="I50" s="38"/>
      <c r="J50" s="38"/>
      <c r="K50" s="38"/>
      <c r="L50" s="38"/>
      <c r="M50" s="164"/>
      <c r="N50" s="161"/>
      <c r="O50" s="119" t="s">
        <v>202</v>
      </c>
      <c r="P50" s="6" t="s">
        <v>44</v>
      </c>
      <c r="Q50" s="62">
        <v>61</v>
      </c>
    </row>
    <row r="51" spans="1:17" ht="15">
      <c r="A51" s="5"/>
      <c r="B51" s="14"/>
      <c r="C51" s="209">
        <v>840</v>
      </c>
      <c r="D51" s="5"/>
      <c r="E51" s="5"/>
      <c r="F51" s="5"/>
      <c r="G51" s="5"/>
      <c r="H51" s="69">
        <f>SUM(H26:H50)</f>
        <v>68.47</v>
      </c>
      <c r="I51" s="69">
        <f>SUM(I26:I50)</f>
        <v>23.78</v>
      </c>
      <c r="J51" s="69">
        <f>SUM(J26:J50)</f>
        <v>35.68</v>
      </c>
      <c r="K51" s="69">
        <f>SUM(K26:K50)</f>
        <v>83.97</v>
      </c>
      <c r="L51" s="69">
        <f>SUM(L26:L50)</f>
        <v>752.12</v>
      </c>
      <c r="M51" s="156"/>
      <c r="N51" s="161">
        <f>(I51+K51)*4+J51*9</f>
        <v>752.12</v>
      </c>
      <c r="O51" s="119" t="s">
        <v>203</v>
      </c>
      <c r="P51" s="6" t="s">
        <v>44</v>
      </c>
      <c r="Q51" s="6">
        <v>61</v>
      </c>
    </row>
    <row r="52" spans="1:17" ht="15">
      <c r="A52" s="170"/>
      <c r="B52" s="170"/>
      <c r="C52" s="170"/>
      <c r="D52" s="170"/>
      <c r="E52" s="170"/>
      <c r="F52" s="170"/>
      <c r="G52" s="170"/>
      <c r="H52" s="170"/>
      <c r="I52" s="93"/>
      <c r="J52" s="93"/>
      <c r="K52" s="93"/>
      <c r="L52" s="93"/>
      <c r="M52" s="153"/>
      <c r="N52" s="161"/>
      <c r="O52" s="119" t="s">
        <v>204</v>
      </c>
      <c r="P52" s="6" t="s">
        <v>44</v>
      </c>
      <c r="Q52" s="6">
        <v>61</v>
      </c>
    </row>
    <row r="53" spans="1:17" ht="15">
      <c r="A53" s="148"/>
      <c r="B53" s="148"/>
      <c r="C53" s="148"/>
      <c r="D53" s="148"/>
      <c r="E53" s="148"/>
      <c r="F53" s="148"/>
      <c r="G53" s="148"/>
      <c r="H53" s="93"/>
      <c r="I53" s="93"/>
      <c r="J53" s="93"/>
      <c r="K53" s="93"/>
      <c r="L53" s="93"/>
      <c r="M53" s="153"/>
      <c r="N53" s="161"/>
      <c r="O53" s="119" t="s">
        <v>205</v>
      </c>
      <c r="P53" s="6" t="s">
        <v>44</v>
      </c>
      <c r="Q53" s="6">
        <v>51</v>
      </c>
    </row>
    <row r="54" spans="1:17" s="71" customFormat="1" ht="15">
      <c r="A54" s="36"/>
      <c r="B54" s="75"/>
      <c r="C54" s="36"/>
      <c r="D54" s="146"/>
      <c r="E54" s="36"/>
      <c r="F54" s="36"/>
      <c r="G54" s="36"/>
      <c r="H54" s="93"/>
      <c r="I54" s="93"/>
      <c r="J54" s="93"/>
      <c r="K54" s="93"/>
      <c r="L54" s="93"/>
      <c r="M54" s="153"/>
      <c r="N54" s="161"/>
      <c r="O54" s="119" t="s">
        <v>206</v>
      </c>
      <c r="P54" s="6" t="s">
        <v>44</v>
      </c>
      <c r="Q54" s="6">
        <v>51</v>
      </c>
    </row>
    <row r="55" spans="1:17" s="71" customFormat="1" ht="15">
      <c r="A55" s="36"/>
      <c r="B55" s="147"/>
      <c r="C55" s="36"/>
      <c r="D55" s="146"/>
      <c r="E55" s="36"/>
      <c r="F55" s="36"/>
      <c r="G55" s="36"/>
      <c r="H55" s="35"/>
      <c r="I55" s="93"/>
      <c r="J55" s="93"/>
      <c r="K55" s="93"/>
      <c r="L55" s="93"/>
      <c r="M55" s="153"/>
      <c r="N55" s="161"/>
      <c r="O55" s="119" t="s">
        <v>207</v>
      </c>
      <c r="P55" s="6" t="s">
        <v>44</v>
      </c>
      <c r="Q55" s="6">
        <v>79</v>
      </c>
    </row>
    <row r="56" spans="1:17" s="71" customFormat="1" ht="15">
      <c r="A56" s="36"/>
      <c r="B56" s="147"/>
      <c r="C56" s="36"/>
      <c r="D56" s="146"/>
      <c r="E56" s="36"/>
      <c r="F56" s="36"/>
      <c r="G56" s="36"/>
      <c r="H56" s="35"/>
      <c r="I56" s="93"/>
      <c r="J56" s="93"/>
      <c r="K56" s="93"/>
      <c r="L56" s="93"/>
      <c r="M56" s="153"/>
      <c r="N56" s="161"/>
      <c r="O56" s="61" t="s">
        <v>188</v>
      </c>
      <c r="P56" s="6" t="s">
        <v>44</v>
      </c>
      <c r="Q56" s="6">
        <v>85</v>
      </c>
    </row>
    <row r="57" spans="1:17" s="71" customFormat="1" ht="15">
      <c r="A57" s="21"/>
      <c r="B57" s="75" t="s">
        <v>36</v>
      </c>
      <c r="C57" s="27"/>
      <c r="D57" s="27"/>
      <c r="E57" s="1"/>
      <c r="F57" s="1"/>
      <c r="G57" s="1"/>
      <c r="H57" s="1"/>
      <c r="I57" s="1"/>
      <c r="J57" s="1"/>
      <c r="K57" s="1"/>
      <c r="L57" s="1"/>
      <c r="M57" s="162"/>
      <c r="N57" s="161"/>
      <c r="O57" s="61" t="s">
        <v>49</v>
      </c>
      <c r="P57" s="6" t="s">
        <v>44</v>
      </c>
      <c r="Q57" s="6">
        <v>43</v>
      </c>
    </row>
    <row r="58" spans="1:17" s="71" customFormat="1" ht="28.5" customHeight="1">
      <c r="A58" s="247" t="s">
        <v>3</v>
      </c>
      <c r="B58" s="8"/>
      <c r="C58" s="8" t="s">
        <v>4</v>
      </c>
      <c r="D58" s="247" t="s">
        <v>29</v>
      </c>
      <c r="E58" s="101" t="s">
        <v>12</v>
      </c>
      <c r="F58" s="101" t="s">
        <v>57</v>
      </c>
      <c r="G58" s="101" t="s">
        <v>30</v>
      </c>
      <c r="H58" s="101" t="s">
        <v>31</v>
      </c>
      <c r="I58" s="250" t="s">
        <v>70</v>
      </c>
      <c r="J58" s="250" t="s">
        <v>71</v>
      </c>
      <c r="K58" s="250" t="s">
        <v>72</v>
      </c>
      <c r="L58" s="250" t="s">
        <v>73</v>
      </c>
      <c r="M58" s="245" t="s">
        <v>150</v>
      </c>
      <c r="N58" s="161"/>
      <c r="O58" s="61" t="s">
        <v>50</v>
      </c>
      <c r="P58" s="6" t="s">
        <v>44</v>
      </c>
      <c r="Q58" s="6">
        <v>44</v>
      </c>
    </row>
    <row r="59" spans="1:17" ht="15.75" customHeight="1">
      <c r="A59" s="248"/>
      <c r="B59" s="76" t="s">
        <v>144</v>
      </c>
      <c r="C59" s="17" t="s">
        <v>32</v>
      </c>
      <c r="D59" s="251"/>
      <c r="E59" s="33" t="s">
        <v>32</v>
      </c>
      <c r="F59" s="33" t="s">
        <v>32</v>
      </c>
      <c r="G59" s="5" t="s">
        <v>33</v>
      </c>
      <c r="H59" s="5" t="s">
        <v>34</v>
      </c>
      <c r="I59" s="246"/>
      <c r="J59" s="246"/>
      <c r="K59" s="246"/>
      <c r="L59" s="246"/>
      <c r="M59" s="246"/>
      <c r="N59" s="161"/>
      <c r="O59" s="61" t="s">
        <v>119</v>
      </c>
      <c r="P59" s="6" t="s">
        <v>44</v>
      </c>
      <c r="Q59" s="6">
        <v>377</v>
      </c>
    </row>
    <row r="60" spans="1:17" ht="15">
      <c r="A60" s="5">
        <v>1</v>
      </c>
      <c r="B60" s="2" t="s">
        <v>125</v>
      </c>
      <c r="C60" s="5">
        <v>95</v>
      </c>
      <c r="D60" s="8" t="s">
        <v>16</v>
      </c>
      <c r="E60" s="34">
        <v>73</v>
      </c>
      <c r="F60" s="5">
        <v>72</v>
      </c>
      <c r="G60" s="179">
        <f>Q6</f>
        <v>607</v>
      </c>
      <c r="H60" s="10">
        <f aca="true" t="shared" si="3" ref="H60:H65">E60*G60/1000</f>
        <v>44.31</v>
      </c>
      <c r="I60" s="10"/>
      <c r="J60" s="10"/>
      <c r="K60" s="10"/>
      <c r="L60" s="10"/>
      <c r="M60" s="166"/>
      <c r="N60" s="161"/>
      <c r="O60" s="61" t="s">
        <v>82</v>
      </c>
      <c r="P60" s="6" t="s">
        <v>44</v>
      </c>
      <c r="Q60" s="6">
        <v>24</v>
      </c>
    </row>
    <row r="61" spans="1:17" ht="15">
      <c r="A61" s="5"/>
      <c r="B61" s="2"/>
      <c r="C61" s="5"/>
      <c r="D61" s="8" t="s">
        <v>8</v>
      </c>
      <c r="E61" s="5">
        <v>15</v>
      </c>
      <c r="F61" s="5">
        <v>13</v>
      </c>
      <c r="G61" s="179">
        <f>Q25</f>
        <v>66</v>
      </c>
      <c r="H61" s="10">
        <f t="shared" si="3"/>
        <v>0.99</v>
      </c>
      <c r="I61" s="10"/>
      <c r="J61" s="10"/>
      <c r="K61" s="10"/>
      <c r="L61" s="10"/>
      <c r="M61" s="166"/>
      <c r="N61" s="161"/>
      <c r="O61" s="61" t="s">
        <v>87</v>
      </c>
      <c r="P61" s="6" t="s">
        <v>44</v>
      </c>
      <c r="Q61" s="6">
        <v>213</v>
      </c>
    </row>
    <row r="62" spans="1:17" ht="15">
      <c r="A62" s="5"/>
      <c r="B62" s="14"/>
      <c r="C62" s="5"/>
      <c r="D62" s="5" t="s">
        <v>6</v>
      </c>
      <c r="E62" s="5">
        <v>10</v>
      </c>
      <c r="F62" s="5">
        <v>9</v>
      </c>
      <c r="G62" s="179">
        <f>Q24</f>
        <v>46</v>
      </c>
      <c r="H62" s="10">
        <f t="shared" si="3"/>
        <v>0.46</v>
      </c>
      <c r="I62" s="10"/>
      <c r="J62" s="10"/>
      <c r="K62" s="10"/>
      <c r="L62" s="10"/>
      <c r="M62" s="166"/>
      <c r="N62" s="161"/>
      <c r="O62" s="61" t="s">
        <v>120</v>
      </c>
      <c r="P62" s="6" t="s">
        <v>44</v>
      </c>
      <c r="Q62" s="6">
        <v>480</v>
      </c>
    </row>
    <row r="63" spans="1:17" ht="15">
      <c r="A63" s="5"/>
      <c r="B63" s="14"/>
      <c r="C63" s="5"/>
      <c r="D63" s="5" t="s">
        <v>18</v>
      </c>
      <c r="E63" s="5">
        <v>2</v>
      </c>
      <c r="F63" s="5">
        <v>2</v>
      </c>
      <c r="G63" s="179">
        <f>Q30</f>
        <v>123</v>
      </c>
      <c r="H63" s="10">
        <f t="shared" si="3"/>
        <v>0.25</v>
      </c>
      <c r="I63" s="10"/>
      <c r="J63" s="10"/>
      <c r="K63" s="10"/>
      <c r="L63" s="10"/>
      <c r="M63" s="166"/>
      <c r="N63" s="161"/>
      <c r="O63" s="61" t="s">
        <v>90</v>
      </c>
      <c r="P63" s="6" t="s">
        <v>44</v>
      </c>
      <c r="Q63" s="6">
        <v>400</v>
      </c>
    </row>
    <row r="64" spans="1:17" ht="15">
      <c r="A64" s="5"/>
      <c r="B64" s="14"/>
      <c r="C64" s="5"/>
      <c r="D64" s="5" t="s">
        <v>28</v>
      </c>
      <c r="E64" s="5">
        <v>2</v>
      </c>
      <c r="F64" s="5">
        <v>2</v>
      </c>
      <c r="G64" s="8">
        <f>Q11</f>
        <v>490</v>
      </c>
      <c r="H64" s="10">
        <f t="shared" si="3"/>
        <v>0.98</v>
      </c>
      <c r="I64" s="154"/>
      <c r="J64" s="154"/>
      <c r="K64" s="154"/>
      <c r="L64" s="154"/>
      <c r="M64" s="45"/>
      <c r="N64" s="161"/>
      <c r="O64" s="61" t="s">
        <v>121</v>
      </c>
      <c r="P64" s="6" t="s">
        <v>44</v>
      </c>
      <c r="Q64" s="6">
        <v>507</v>
      </c>
    </row>
    <row r="65" spans="1:17" s="120" customFormat="1" ht="15">
      <c r="A65" s="5"/>
      <c r="B65" s="14"/>
      <c r="C65" s="5"/>
      <c r="D65" s="5" t="s">
        <v>74</v>
      </c>
      <c r="E65" s="5">
        <v>3</v>
      </c>
      <c r="F65" s="5">
        <v>3</v>
      </c>
      <c r="G65" s="34">
        <f>Q45</f>
        <v>38</v>
      </c>
      <c r="H65" s="16">
        <f t="shared" si="3"/>
        <v>0.11</v>
      </c>
      <c r="I65" s="204">
        <v>12.2</v>
      </c>
      <c r="J65" s="204">
        <v>21.48</v>
      </c>
      <c r="K65" s="204">
        <v>3.25</v>
      </c>
      <c r="L65" s="202">
        <v>255.12</v>
      </c>
      <c r="M65" s="203">
        <v>277</v>
      </c>
      <c r="N65" s="161">
        <f>(I65+K65)*4+J65*9</f>
        <v>255.12</v>
      </c>
      <c r="O65" s="121" t="s">
        <v>93</v>
      </c>
      <c r="P65" s="6" t="s">
        <v>44</v>
      </c>
      <c r="Q65" s="6">
        <v>483</v>
      </c>
    </row>
    <row r="66" spans="1:17" ht="15">
      <c r="A66" s="5">
        <v>2</v>
      </c>
      <c r="B66" s="32" t="s">
        <v>147</v>
      </c>
      <c r="C66" s="28">
        <v>150</v>
      </c>
      <c r="D66" s="28" t="s">
        <v>148</v>
      </c>
      <c r="E66" s="28">
        <v>52</v>
      </c>
      <c r="F66" s="28">
        <v>52</v>
      </c>
      <c r="G66" s="5">
        <f>Q51</f>
        <v>61</v>
      </c>
      <c r="H66" s="16">
        <f aca="true" t="shared" si="4" ref="H66:H73">G66*E66/1000</f>
        <v>3.17</v>
      </c>
      <c r="I66" s="16"/>
      <c r="J66" s="16"/>
      <c r="K66" s="16"/>
      <c r="L66" s="16"/>
      <c r="M66" s="45"/>
      <c r="N66" s="161"/>
      <c r="O66" s="119" t="s">
        <v>208</v>
      </c>
      <c r="P66" s="6" t="s">
        <v>44</v>
      </c>
      <c r="Q66" s="6">
        <v>48</v>
      </c>
    </row>
    <row r="67" spans="1:18" ht="15">
      <c r="A67" s="5"/>
      <c r="B67" s="32"/>
      <c r="C67" s="28"/>
      <c r="D67" s="28" t="s">
        <v>28</v>
      </c>
      <c r="E67" s="28">
        <v>6</v>
      </c>
      <c r="F67" s="28">
        <v>6</v>
      </c>
      <c r="G67" s="5">
        <f>Q11</f>
        <v>490</v>
      </c>
      <c r="H67" s="16">
        <f t="shared" si="4"/>
        <v>2.94</v>
      </c>
      <c r="I67" s="16">
        <v>6.6</v>
      </c>
      <c r="J67" s="16">
        <v>5.73</v>
      </c>
      <c r="K67" s="16">
        <v>37.89</v>
      </c>
      <c r="L67" s="16">
        <v>229.53</v>
      </c>
      <c r="M67" s="45">
        <v>302</v>
      </c>
      <c r="N67" s="161">
        <f>(I67+K67)*4+J67*9</f>
        <v>229.53</v>
      </c>
      <c r="O67" s="119" t="s">
        <v>209</v>
      </c>
      <c r="P67" s="6" t="s">
        <v>44</v>
      </c>
      <c r="Q67" s="6">
        <v>157</v>
      </c>
      <c r="R67" s="1">
        <v>167</v>
      </c>
    </row>
    <row r="68" spans="1:17" ht="15">
      <c r="A68" s="5">
        <v>3</v>
      </c>
      <c r="B68" s="14" t="s">
        <v>35</v>
      </c>
      <c r="C68" s="5">
        <v>50</v>
      </c>
      <c r="D68" s="5" t="s">
        <v>19</v>
      </c>
      <c r="E68" s="5">
        <v>50</v>
      </c>
      <c r="F68" s="5">
        <v>50</v>
      </c>
      <c r="G68" s="5">
        <f>Q66</f>
        <v>48</v>
      </c>
      <c r="H68" s="16">
        <f t="shared" si="4"/>
        <v>2.4</v>
      </c>
      <c r="I68" s="202">
        <v>3.06</v>
      </c>
      <c r="J68" s="202">
        <v>9.54</v>
      </c>
      <c r="K68" s="202">
        <v>18.28</v>
      </c>
      <c r="L68" s="202">
        <f>(I68+K68)*4+J68*9</f>
        <v>171.22</v>
      </c>
      <c r="M68" s="203">
        <v>1</v>
      </c>
      <c r="N68" s="161">
        <f>(I68+K68)*4+J68*9</f>
        <v>171.22</v>
      </c>
      <c r="O68" s="119"/>
      <c r="P68" s="6"/>
      <c r="Q68" s="6"/>
    </row>
    <row r="69" spans="1:17" ht="15">
      <c r="A69" s="5">
        <v>4</v>
      </c>
      <c r="B69" s="14" t="s">
        <v>66</v>
      </c>
      <c r="C69" s="5">
        <v>10</v>
      </c>
      <c r="D69" s="8" t="s">
        <v>28</v>
      </c>
      <c r="E69" s="34">
        <v>10</v>
      </c>
      <c r="F69" s="34">
        <v>10</v>
      </c>
      <c r="G69" s="5">
        <f>Q11</f>
        <v>490</v>
      </c>
      <c r="H69" s="16">
        <f t="shared" si="4"/>
        <v>4.9</v>
      </c>
      <c r="I69" s="78">
        <v>0.04</v>
      </c>
      <c r="J69" s="78">
        <v>7.85</v>
      </c>
      <c r="K69" s="78">
        <v>0.05</v>
      </c>
      <c r="L69" s="78">
        <v>71.01</v>
      </c>
      <c r="M69" s="45">
        <v>14</v>
      </c>
      <c r="N69" s="161">
        <f>(I69+K69)*4+J69*9</f>
        <v>71.01</v>
      </c>
      <c r="O69" s="61"/>
      <c r="P69" s="6"/>
      <c r="Q69" s="6"/>
    </row>
    <row r="70" spans="1:17" ht="15">
      <c r="A70" s="5">
        <v>5</v>
      </c>
      <c r="B70" s="14" t="s">
        <v>13</v>
      </c>
      <c r="C70" s="5">
        <v>200</v>
      </c>
      <c r="D70" s="8" t="s">
        <v>149</v>
      </c>
      <c r="E70" s="34">
        <v>1</v>
      </c>
      <c r="F70" s="34">
        <v>1</v>
      </c>
      <c r="G70" s="5">
        <f>Q64</f>
        <v>507</v>
      </c>
      <c r="H70" s="16">
        <f t="shared" si="4"/>
        <v>0.51</v>
      </c>
      <c r="I70" s="16"/>
      <c r="J70" s="16"/>
      <c r="K70" s="16"/>
      <c r="L70" s="16"/>
      <c r="M70" s="45"/>
      <c r="N70" s="161"/>
      <c r="O70" s="119"/>
      <c r="P70" s="62"/>
      <c r="Q70" s="6"/>
    </row>
    <row r="71" spans="1:17" ht="15">
      <c r="A71" s="142"/>
      <c r="B71" s="39"/>
      <c r="C71" s="8"/>
      <c r="D71" s="5" t="s">
        <v>2</v>
      </c>
      <c r="E71" s="5">
        <v>13</v>
      </c>
      <c r="F71" s="5">
        <v>13</v>
      </c>
      <c r="G71" s="5">
        <f>Q56</f>
        <v>85</v>
      </c>
      <c r="H71" s="16">
        <f t="shared" si="4"/>
        <v>1.11</v>
      </c>
      <c r="I71" s="78">
        <v>0.2</v>
      </c>
      <c r="J71" s="78">
        <v>0</v>
      </c>
      <c r="K71" s="78">
        <v>14</v>
      </c>
      <c r="L71" s="78">
        <v>56.8</v>
      </c>
      <c r="M71" s="45">
        <v>1009</v>
      </c>
      <c r="N71" s="161">
        <f>(I71+K71)*4+J71*9</f>
        <v>56.8</v>
      </c>
      <c r="O71" s="119"/>
      <c r="P71" s="62"/>
      <c r="Q71" s="6"/>
    </row>
    <row r="72" spans="1:17" ht="15">
      <c r="A72" s="142">
        <v>6</v>
      </c>
      <c r="B72" s="198" t="s">
        <v>227</v>
      </c>
      <c r="C72" s="5">
        <v>40</v>
      </c>
      <c r="D72" s="5" t="s">
        <v>228</v>
      </c>
      <c r="E72" s="34">
        <v>40</v>
      </c>
      <c r="F72" s="34">
        <v>40</v>
      </c>
      <c r="G72" s="5">
        <f>Q67</f>
        <v>157</v>
      </c>
      <c r="H72" s="16">
        <f t="shared" si="4"/>
        <v>6.28</v>
      </c>
      <c r="I72" s="78">
        <v>2.36</v>
      </c>
      <c r="J72" s="78">
        <v>1.88</v>
      </c>
      <c r="K72" s="78">
        <v>30</v>
      </c>
      <c r="L72" s="78">
        <v>146.36</v>
      </c>
      <c r="M72" s="203"/>
      <c r="N72" s="161">
        <f>(I72+K72)*4+J72*9</f>
        <v>146.36</v>
      </c>
      <c r="O72" s="230"/>
      <c r="P72" s="62"/>
      <c r="Q72" s="6"/>
    </row>
    <row r="73" spans="1:17" ht="15">
      <c r="A73" s="5"/>
      <c r="B73" s="14"/>
      <c r="C73" s="5"/>
      <c r="D73" s="5" t="s">
        <v>170</v>
      </c>
      <c r="E73" s="34">
        <v>2.5</v>
      </c>
      <c r="F73" s="34">
        <v>2.5</v>
      </c>
      <c r="G73" s="34">
        <f>Q60</f>
        <v>24</v>
      </c>
      <c r="H73" s="16">
        <f t="shared" si="4"/>
        <v>0.06</v>
      </c>
      <c r="I73" s="156"/>
      <c r="J73" s="156"/>
      <c r="K73" s="156"/>
      <c r="L73" s="156"/>
      <c r="M73" s="152"/>
      <c r="N73" s="161"/>
      <c r="O73" s="119" t="s">
        <v>233</v>
      </c>
      <c r="P73" s="62" t="s">
        <v>44</v>
      </c>
      <c r="Q73" s="6">
        <v>340</v>
      </c>
    </row>
    <row r="74" spans="1:17" ht="15">
      <c r="A74" s="5"/>
      <c r="B74" s="14"/>
      <c r="C74" s="209">
        <f>SUM(C60:C73)</f>
        <v>545</v>
      </c>
      <c r="D74" s="8"/>
      <c r="E74" s="34"/>
      <c r="F74" s="34"/>
      <c r="G74" s="34"/>
      <c r="H74" s="69">
        <f>SUM(H60:H73)</f>
        <v>68.47</v>
      </c>
      <c r="I74" s="69">
        <f>SUM(I60:I73)</f>
        <v>24.46</v>
      </c>
      <c r="J74" s="69">
        <f>SUM(J60:J73)</f>
        <v>46.48</v>
      </c>
      <c r="K74" s="69">
        <f>SUM(K60:K73)</f>
        <v>103.47</v>
      </c>
      <c r="L74" s="69">
        <f>SUM(L60:L73)</f>
        <v>930.04</v>
      </c>
      <c r="M74" s="156"/>
      <c r="N74" s="161">
        <f>(I74+K74)*4+J74*9</f>
        <v>930.04</v>
      </c>
      <c r="O74" s="61" t="s">
        <v>189</v>
      </c>
      <c r="P74" s="6" t="s">
        <v>44</v>
      </c>
      <c r="Q74" s="6">
        <v>153</v>
      </c>
    </row>
    <row r="75" spans="1:17" ht="15">
      <c r="A75" s="5"/>
      <c r="B75" s="73" t="s">
        <v>145</v>
      </c>
      <c r="C75" s="8"/>
      <c r="D75" s="8"/>
      <c r="E75" s="5"/>
      <c r="F75" s="5"/>
      <c r="G75" s="5"/>
      <c r="H75" s="16"/>
      <c r="I75" s="16"/>
      <c r="J75" s="16"/>
      <c r="K75" s="16"/>
      <c r="L75" s="16"/>
      <c r="M75" s="45"/>
      <c r="N75" s="161"/>
      <c r="O75" s="122"/>
      <c r="P75" s="123"/>
      <c r="Q75" s="126"/>
    </row>
    <row r="76" spans="1:18" ht="15" customHeight="1">
      <c r="A76" s="5">
        <v>1</v>
      </c>
      <c r="B76" s="3" t="s">
        <v>75</v>
      </c>
      <c r="C76" s="5">
        <v>250</v>
      </c>
      <c r="D76" s="8" t="s">
        <v>7</v>
      </c>
      <c r="E76" s="5">
        <v>106</v>
      </c>
      <c r="F76" s="5">
        <v>78</v>
      </c>
      <c r="G76" s="5">
        <f>Q22</f>
        <v>57</v>
      </c>
      <c r="H76" s="16">
        <f>E76*G76/1000</f>
        <v>6.04</v>
      </c>
      <c r="I76" s="16"/>
      <c r="J76" s="16"/>
      <c r="K76" s="16"/>
      <c r="L76" s="16"/>
      <c r="M76" s="45"/>
      <c r="N76" s="161"/>
      <c r="O76" s="122"/>
      <c r="P76" s="123"/>
      <c r="Q76" s="123"/>
      <c r="R76" s="7"/>
    </row>
    <row r="77" spans="1:18" ht="15" customHeight="1">
      <c r="A77" s="5"/>
      <c r="B77" s="3" t="s">
        <v>176</v>
      </c>
      <c r="C77" s="5"/>
      <c r="D77" s="5" t="s">
        <v>77</v>
      </c>
      <c r="E77" s="5">
        <v>10</v>
      </c>
      <c r="F77" s="5">
        <v>10</v>
      </c>
      <c r="G77" s="5">
        <f>Q58</f>
        <v>44</v>
      </c>
      <c r="H77" s="16">
        <f>E77*G77/1000</f>
        <v>0.44</v>
      </c>
      <c r="I77" s="16"/>
      <c r="J77" s="16"/>
      <c r="K77" s="16"/>
      <c r="L77" s="16"/>
      <c r="M77" s="45"/>
      <c r="N77" s="161"/>
      <c r="O77" s="122"/>
      <c r="P77" s="123"/>
      <c r="Q77" s="123"/>
      <c r="R77" s="7"/>
    </row>
    <row r="78" spans="1:18" ht="15" customHeight="1">
      <c r="A78" s="5"/>
      <c r="B78" s="3"/>
      <c r="C78" s="5"/>
      <c r="D78" s="5" t="s">
        <v>8</v>
      </c>
      <c r="E78" s="5">
        <v>14</v>
      </c>
      <c r="F78" s="5">
        <v>12</v>
      </c>
      <c r="G78" s="5">
        <f>Q25</f>
        <v>66</v>
      </c>
      <c r="H78" s="16">
        <f>E78*G78/1000</f>
        <v>0.92</v>
      </c>
      <c r="I78" s="16"/>
      <c r="J78" s="16"/>
      <c r="K78" s="16"/>
      <c r="L78" s="16"/>
      <c r="M78" s="45"/>
      <c r="N78" s="161"/>
      <c r="O78" s="122"/>
      <c r="P78" s="123"/>
      <c r="Q78" s="123"/>
      <c r="R78" s="7"/>
    </row>
    <row r="79" spans="1:18" ht="15" customHeight="1">
      <c r="A79" s="5"/>
      <c r="B79" s="3"/>
      <c r="C79" s="5"/>
      <c r="D79" s="5" t="s">
        <v>6</v>
      </c>
      <c r="E79" s="5">
        <v>12</v>
      </c>
      <c r="F79" s="5">
        <v>10</v>
      </c>
      <c r="G79" s="5">
        <f>Q24</f>
        <v>46</v>
      </c>
      <c r="H79" s="16">
        <f>E79*G79/1000</f>
        <v>0.55</v>
      </c>
      <c r="I79" s="16"/>
      <c r="J79" s="16"/>
      <c r="K79" s="16"/>
      <c r="L79" s="16"/>
      <c r="M79" s="45"/>
      <c r="N79" s="161"/>
      <c r="O79" s="122"/>
      <c r="P79" s="123"/>
      <c r="Q79" s="123"/>
      <c r="R79" s="7"/>
    </row>
    <row r="80" spans="1:18" ht="15">
      <c r="A80" s="5"/>
      <c r="B80" s="3"/>
      <c r="C80" s="5"/>
      <c r="D80" s="8" t="s">
        <v>26</v>
      </c>
      <c r="E80" s="5">
        <v>5</v>
      </c>
      <c r="F80" s="5">
        <v>5</v>
      </c>
      <c r="G80" s="5">
        <f>Q39</f>
        <v>138</v>
      </c>
      <c r="H80" s="16">
        <f>E80*G80/1000</f>
        <v>0.69</v>
      </c>
      <c r="I80" s="16">
        <v>2.81</v>
      </c>
      <c r="J80" s="16">
        <v>5.42</v>
      </c>
      <c r="K80" s="16">
        <v>20.27</v>
      </c>
      <c r="L80" s="16">
        <v>141.1</v>
      </c>
      <c r="M80" s="184">
        <v>223</v>
      </c>
      <c r="N80" s="161">
        <f>(I80+K80)*4+J80*9</f>
        <v>141.1</v>
      </c>
      <c r="O80" s="122"/>
      <c r="P80" s="123"/>
      <c r="Q80" s="123"/>
      <c r="R80" s="7"/>
    </row>
    <row r="81" spans="1:18" ht="15" customHeight="1">
      <c r="A81" s="5">
        <v>2</v>
      </c>
      <c r="B81" s="2" t="s">
        <v>125</v>
      </c>
      <c r="C81" s="5">
        <v>90</v>
      </c>
      <c r="D81" s="8" t="s">
        <v>16</v>
      </c>
      <c r="E81" s="5">
        <v>69</v>
      </c>
      <c r="F81" s="5">
        <v>68</v>
      </c>
      <c r="G81" s="5">
        <f>Q6</f>
        <v>607</v>
      </c>
      <c r="H81" s="16">
        <f aca="true" t="shared" si="5" ref="H81:H88">E81*G81/1000</f>
        <v>41.88</v>
      </c>
      <c r="I81" s="16"/>
      <c r="J81" s="16"/>
      <c r="K81" s="16"/>
      <c r="L81" s="16"/>
      <c r="M81" s="45"/>
      <c r="N81" s="161"/>
      <c r="O81" s="122"/>
      <c r="P81" s="123"/>
      <c r="Q81" s="123"/>
      <c r="R81" s="7"/>
    </row>
    <row r="82" spans="1:18" ht="15" customHeight="1">
      <c r="A82" s="5"/>
      <c r="B82" s="2"/>
      <c r="C82" s="5"/>
      <c r="D82" s="8" t="s">
        <v>8</v>
      </c>
      <c r="E82" s="5">
        <v>14</v>
      </c>
      <c r="F82" s="5">
        <v>12</v>
      </c>
      <c r="G82" s="5">
        <f>Q25</f>
        <v>66</v>
      </c>
      <c r="H82" s="16">
        <f t="shared" si="5"/>
        <v>0.92</v>
      </c>
      <c r="I82" s="16"/>
      <c r="J82" s="16"/>
      <c r="K82" s="16"/>
      <c r="L82" s="16"/>
      <c r="M82" s="45"/>
      <c r="N82" s="161"/>
      <c r="O82" s="122"/>
      <c r="P82" s="123"/>
      <c r="Q82" s="123"/>
      <c r="R82" s="7"/>
    </row>
    <row r="83" spans="1:18" ht="15" customHeight="1">
      <c r="A83" s="5"/>
      <c r="B83" s="14"/>
      <c r="C83" s="5"/>
      <c r="D83" s="5" t="s">
        <v>6</v>
      </c>
      <c r="E83" s="5">
        <v>9</v>
      </c>
      <c r="F83" s="5">
        <v>8</v>
      </c>
      <c r="G83" s="5">
        <f>Q24</f>
        <v>46</v>
      </c>
      <c r="H83" s="16">
        <f t="shared" si="5"/>
        <v>0.41</v>
      </c>
      <c r="I83" s="16"/>
      <c r="J83" s="16"/>
      <c r="K83" s="16"/>
      <c r="L83" s="16"/>
      <c r="M83" s="45"/>
      <c r="N83" s="161"/>
      <c r="O83" s="122"/>
      <c r="P83" s="123"/>
      <c r="Q83" s="123"/>
      <c r="R83" s="7"/>
    </row>
    <row r="84" spans="1:18" ht="15" customHeight="1">
      <c r="A84" s="5"/>
      <c r="B84" s="14"/>
      <c r="C84" s="5"/>
      <c r="D84" s="5" t="s">
        <v>18</v>
      </c>
      <c r="E84" s="5">
        <v>2</v>
      </c>
      <c r="F84" s="5">
        <v>2</v>
      </c>
      <c r="G84" s="5">
        <f>Q30</f>
        <v>123</v>
      </c>
      <c r="H84" s="16">
        <f t="shared" si="5"/>
        <v>0.25</v>
      </c>
      <c r="I84" s="16"/>
      <c r="J84" s="16"/>
      <c r="K84" s="16"/>
      <c r="L84" s="16"/>
      <c r="M84" s="45"/>
      <c r="N84" s="161"/>
      <c r="O84" s="122"/>
      <c r="P84" s="123"/>
      <c r="Q84" s="123"/>
      <c r="R84" s="7"/>
    </row>
    <row r="85" spans="1:18" ht="15">
      <c r="A85" s="5"/>
      <c r="B85" s="14"/>
      <c r="C85" s="5"/>
      <c r="D85" s="5" t="s">
        <v>28</v>
      </c>
      <c r="E85" s="5">
        <v>2</v>
      </c>
      <c r="F85" s="5">
        <v>2</v>
      </c>
      <c r="G85" s="184">
        <f>Q11</f>
        <v>490</v>
      </c>
      <c r="H85" s="16">
        <f>E85*G85/1000</f>
        <v>0.98</v>
      </c>
      <c r="I85" s="16"/>
      <c r="J85" s="16"/>
      <c r="K85" s="16"/>
      <c r="L85" s="16"/>
      <c r="M85" s="45"/>
      <c r="N85" s="161"/>
      <c r="O85" s="122"/>
      <c r="P85" s="123"/>
      <c r="Q85" s="123"/>
      <c r="R85" s="7"/>
    </row>
    <row r="86" spans="1:18" ht="15" customHeight="1">
      <c r="A86" s="5"/>
      <c r="B86" s="14"/>
      <c r="C86" s="5"/>
      <c r="D86" s="5" t="s">
        <v>74</v>
      </c>
      <c r="E86" s="5">
        <v>3</v>
      </c>
      <c r="F86" s="5">
        <v>3</v>
      </c>
      <c r="G86" s="28">
        <f>Q45</f>
        <v>38</v>
      </c>
      <c r="H86" s="16">
        <f t="shared" si="5"/>
        <v>0.11</v>
      </c>
      <c r="I86" s="204">
        <v>11.56</v>
      </c>
      <c r="J86" s="204">
        <v>20.35</v>
      </c>
      <c r="K86" s="204">
        <v>3.08</v>
      </c>
      <c r="L86" s="202">
        <v>241.71</v>
      </c>
      <c r="M86" s="203">
        <v>277</v>
      </c>
      <c r="N86" s="161">
        <f>(I86+K86)*4+J86*9</f>
        <v>241.71</v>
      </c>
      <c r="O86" s="122"/>
      <c r="P86" s="123"/>
      <c r="Q86" s="123"/>
      <c r="R86" s="7"/>
    </row>
    <row r="87" spans="1:18" ht="15" customHeight="1">
      <c r="A87" s="5">
        <v>3</v>
      </c>
      <c r="B87" s="32" t="s">
        <v>147</v>
      </c>
      <c r="C87" s="28">
        <v>150</v>
      </c>
      <c r="D87" s="28" t="s">
        <v>148</v>
      </c>
      <c r="E87" s="28">
        <v>53</v>
      </c>
      <c r="F87" s="28">
        <v>53</v>
      </c>
      <c r="G87" s="28">
        <f>Q51</f>
        <v>61</v>
      </c>
      <c r="H87" s="29">
        <f t="shared" si="5"/>
        <v>3.23</v>
      </c>
      <c r="I87" s="16"/>
      <c r="J87" s="16"/>
      <c r="K87" s="16"/>
      <c r="L87" s="16"/>
      <c r="M87" s="45"/>
      <c r="N87" s="161"/>
      <c r="O87" s="122"/>
      <c r="P87" s="123"/>
      <c r="Q87" s="123"/>
      <c r="R87" s="7"/>
    </row>
    <row r="88" spans="1:18" ht="15" customHeight="1">
      <c r="A88" s="5"/>
      <c r="B88" s="32"/>
      <c r="C88" s="28"/>
      <c r="D88" s="28" t="s">
        <v>28</v>
      </c>
      <c r="E88" s="28">
        <v>6</v>
      </c>
      <c r="F88" s="28">
        <v>6</v>
      </c>
      <c r="G88" s="28">
        <f>Q11</f>
        <v>490</v>
      </c>
      <c r="H88" s="29">
        <f t="shared" si="5"/>
        <v>2.94</v>
      </c>
      <c r="I88" s="16">
        <v>6.6</v>
      </c>
      <c r="J88" s="16">
        <v>5.73</v>
      </c>
      <c r="K88" s="16">
        <v>37.89</v>
      </c>
      <c r="L88" s="16">
        <v>229.53</v>
      </c>
      <c r="M88" s="45">
        <v>302</v>
      </c>
      <c r="N88" s="161">
        <f>(I88+K88)*4+J88*9</f>
        <v>229.53</v>
      </c>
      <c r="O88" s="122"/>
      <c r="P88" s="123"/>
      <c r="Q88" s="123"/>
      <c r="R88" s="7"/>
    </row>
    <row r="89" spans="1:18" ht="15" customHeight="1">
      <c r="A89" s="5">
        <v>4</v>
      </c>
      <c r="B89" s="32" t="s">
        <v>35</v>
      </c>
      <c r="C89" s="28">
        <v>50</v>
      </c>
      <c r="D89" s="28" t="s">
        <v>19</v>
      </c>
      <c r="E89" s="28">
        <v>50</v>
      </c>
      <c r="F89" s="28">
        <v>50</v>
      </c>
      <c r="G89" s="28">
        <f>Q66</f>
        <v>48</v>
      </c>
      <c r="H89" s="29">
        <f aca="true" t="shared" si="6" ref="H89:H94">G89*E89/1000</f>
        <v>2.4</v>
      </c>
      <c r="I89" s="202">
        <v>3.06</v>
      </c>
      <c r="J89" s="202">
        <v>9.54</v>
      </c>
      <c r="K89" s="202">
        <v>18.28</v>
      </c>
      <c r="L89" s="202">
        <f>(I89+K89)*4+J89*9</f>
        <v>171.22</v>
      </c>
      <c r="M89" s="203"/>
      <c r="N89" s="161">
        <f>(I89+K89)*4+J89*9</f>
        <v>171.22</v>
      </c>
      <c r="O89" s="122"/>
      <c r="P89" s="123"/>
      <c r="Q89" s="123"/>
      <c r="R89" s="7"/>
    </row>
    <row r="90" spans="1:18" ht="15" customHeight="1">
      <c r="A90" s="5">
        <v>5</v>
      </c>
      <c r="B90" s="14" t="s">
        <v>25</v>
      </c>
      <c r="C90" s="5">
        <v>200</v>
      </c>
      <c r="D90" s="5" t="s">
        <v>20</v>
      </c>
      <c r="E90" s="5">
        <v>16</v>
      </c>
      <c r="F90" s="5">
        <v>16</v>
      </c>
      <c r="G90" s="5">
        <f>Q35</f>
        <v>148</v>
      </c>
      <c r="H90" s="16">
        <f t="shared" si="6"/>
        <v>2.37</v>
      </c>
      <c r="I90" s="16"/>
      <c r="J90" s="16"/>
      <c r="K90" s="16"/>
      <c r="L90" s="16"/>
      <c r="M90" s="45"/>
      <c r="N90" s="161"/>
      <c r="O90" s="122"/>
      <c r="P90" s="123"/>
      <c r="Q90" s="123"/>
      <c r="R90" s="7"/>
    </row>
    <row r="91" spans="1:18" ht="15" customHeight="1">
      <c r="A91" s="5"/>
      <c r="B91" s="14"/>
      <c r="C91" s="5"/>
      <c r="D91" s="5" t="s">
        <v>2</v>
      </c>
      <c r="E91" s="5">
        <v>13</v>
      </c>
      <c r="F91" s="5">
        <v>13</v>
      </c>
      <c r="G91" s="5">
        <f>Q56</f>
        <v>85</v>
      </c>
      <c r="H91" s="16">
        <f t="shared" si="6"/>
        <v>1.11</v>
      </c>
      <c r="I91" s="205">
        <v>0.04</v>
      </c>
      <c r="J91" s="205">
        <v>0</v>
      </c>
      <c r="K91" s="205">
        <v>24.76</v>
      </c>
      <c r="L91" s="202">
        <f>(I91+K91)*4+J91*9</f>
        <v>99.2</v>
      </c>
      <c r="M91" s="203">
        <v>349</v>
      </c>
      <c r="N91" s="161">
        <f>(I91+K91)*4+J91*9</f>
        <v>99.2</v>
      </c>
      <c r="O91" s="122"/>
      <c r="P91" s="123"/>
      <c r="Q91" s="123"/>
      <c r="R91" s="7"/>
    </row>
    <row r="92" spans="1:21" ht="15">
      <c r="A92" s="5">
        <v>6</v>
      </c>
      <c r="B92" s="198" t="s">
        <v>227</v>
      </c>
      <c r="C92" s="5">
        <v>20</v>
      </c>
      <c r="D92" s="5" t="s">
        <v>228</v>
      </c>
      <c r="E92" s="34">
        <v>20</v>
      </c>
      <c r="F92" s="34">
        <v>20</v>
      </c>
      <c r="G92" s="5">
        <f>Q67</f>
        <v>157</v>
      </c>
      <c r="H92" s="16">
        <f t="shared" si="6"/>
        <v>3.14</v>
      </c>
      <c r="I92" s="16">
        <v>1.18</v>
      </c>
      <c r="J92" s="16">
        <v>0.94</v>
      </c>
      <c r="K92" s="16">
        <v>15</v>
      </c>
      <c r="L92" s="16">
        <v>73.18</v>
      </c>
      <c r="M92" s="203"/>
      <c r="N92" s="161">
        <f>(I92+K92)*4+J92*9</f>
        <v>73.18</v>
      </c>
      <c r="O92" s="122"/>
      <c r="P92" s="123"/>
      <c r="Q92" s="123"/>
      <c r="R92" s="21"/>
      <c r="S92" s="36"/>
      <c r="T92" s="22"/>
      <c r="U92" s="22"/>
    </row>
    <row r="93" spans="1:21" ht="15">
      <c r="A93" s="5"/>
      <c r="B93" s="77"/>
      <c r="C93" s="5"/>
      <c r="D93" s="5" t="s">
        <v>170</v>
      </c>
      <c r="E93" s="5">
        <v>3.5</v>
      </c>
      <c r="F93" s="5">
        <v>3.5</v>
      </c>
      <c r="G93" s="5">
        <f>Q60</f>
        <v>24</v>
      </c>
      <c r="H93" s="16">
        <f t="shared" si="6"/>
        <v>0.08</v>
      </c>
      <c r="I93" s="16"/>
      <c r="J93" s="16"/>
      <c r="K93" s="16"/>
      <c r="L93" s="16"/>
      <c r="M93" s="45"/>
      <c r="N93" s="161"/>
      <c r="O93" s="122"/>
      <c r="P93" s="123"/>
      <c r="Q93" s="124"/>
      <c r="R93" s="21"/>
      <c r="S93" s="36"/>
      <c r="T93" s="22"/>
      <c r="U93" s="22"/>
    </row>
    <row r="94" spans="1:21" ht="15">
      <c r="A94" s="5"/>
      <c r="B94" s="14"/>
      <c r="C94" s="5"/>
      <c r="D94" s="5" t="s">
        <v>94</v>
      </c>
      <c r="E94" s="5">
        <v>0.02</v>
      </c>
      <c r="F94" s="5">
        <v>0.02</v>
      </c>
      <c r="G94" s="5">
        <f>Q65</f>
        <v>483</v>
      </c>
      <c r="H94" s="16">
        <f t="shared" si="6"/>
        <v>0.01</v>
      </c>
      <c r="I94" s="16"/>
      <c r="J94" s="16"/>
      <c r="K94" s="16"/>
      <c r="L94" s="16"/>
      <c r="M94" s="45"/>
      <c r="N94" s="161"/>
      <c r="O94" s="122"/>
      <c r="P94" s="123"/>
      <c r="Q94" s="125"/>
      <c r="R94" s="21"/>
      <c r="S94" s="21"/>
      <c r="T94" s="21"/>
      <c r="U94" s="22"/>
    </row>
    <row r="95" spans="1:18" ht="15">
      <c r="A95" s="5"/>
      <c r="B95" s="14"/>
      <c r="C95" s="209">
        <f>SUM(C76:C94)</f>
        <v>760</v>
      </c>
      <c r="D95" s="5"/>
      <c r="E95" s="5"/>
      <c r="F95" s="5"/>
      <c r="G95" s="34"/>
      <c r="H95" s="69">
        <f>SUM(H76:H94)</f>
        <v>68.47</v>
      </c>
      <c r="I95" s="69">
        <f>SUM(I76:I94)</f>
        <v>25.25</v>
      </c>
      <c r="J95" s="69">
        <f>SUM(J76:J94)</f>
        <v>41.98</v>
      </c>
      <c r="K95" s="69">
        <f>SUM(K76:K94)</f>
        <v>119.28</v>
      </c>
      <c r="L95" s="69">
        <f>SUM(L76:L94)</f>
        <v>955.94</v>
      </c>
      <c r="M95" s="152"/>
      <c r="N95" s="161">
        <f>(I95+K95)*4+J95*9</f>
        <v>955.94</v>
      </c>
      <c r="O95" s="127"/>
      <c r="P95" s="126"/>
      <c r="Q95" s="128"/>
      <c r="R95" s="7"/>
    </row>
    <row r="96" spans="1:18" ht="15">
      <c r="A96" s="21"/>
      <c r="B96" s="20"/>
      <c r="C96" s="21"/>
      <c r="D96" s="21"/>
      <c r="E96" s="21"/>
      <c r="F96" s="21"/>
      <c r="G96" s="36"/>
      <c r="H96" s="93"/>
      <c r="I96" s="93"/>
      <c r="J96" s="93"/>
      <c r="K96" s="93"/>
      <c r="L96" s="93"/>
      <c r="M96" s="153"/>
      <c r="N96" s="161"/>
      <c r="O96" s="7"/>
      <c r="P96" s="7"/>
      <c r="Q96" s="7"/>
      <c r="R96" s="7"/>
    </row>
    <row r="97" spans="1:18" ht="15">
      <c r="A97" s="21"/>
      <c r="B97" s="20"/>
      <c r="C97" s="21"/>
      <c r="D97" s="21"/>
      <c r="E97" s="21"/>
      <c r="F97" s="21"/>
      <c r="G97" s="36"/>
      <c r="H97" s="93"/>
      <c r="I97" s="93"/>
      <c r="J97" s="93"/>
      <c r="K97" s="93"/>
      <c r="L97" s="93"/>
      <c r="M97" s="153"/>
      <c r="N97" s="161"/>
      <c r="O97" s="7"/>
      <c r="P97" s="7"/>
      <c r="Q97" s="7"/>
      <c r="R97" s="7"/>
    </row>
    <row r="98" spans="2:18" ht="15">
      <c r="B98" s="65" t="s">
        <v>37</v>
      </c>
      <c r="C98" s="23"/>
      <c r="D98" s="27"/>
      <c r="N98" s="161"/>
      <c r="O98" s="7"/>
      <c r="P98" s="7"/>
      <c r="Q98" s="7"/>
      <c r="R98" s="7"/>
    </row>
    <row r="99" spans="1:19" ht="28.5">
      <c r="A99" s="247" t="s">
        <v>3</v>
      </c>
      <c r="B99" s="5"/>
      <c r="C99" s="8" t="s">
        <v>4</v>
      </c>
      <c r="D99" s="247" t="s">
        <v>29</v>
      </c>
      <c r="E99" s="101" t="s">
        <v>12</v>
      </c>
      <c r="F99" s="101" t="s">
        <v>57</v>
      </c>
      <c r="G99" s="101" t="s">
        <v>30</v>
      </c>
      <c r="H99" s="101" t="s">
        <v>31</v>
      </c>
      <c r="I99" s="250" t="s">
        <v>70</v>
      </c>
      <c r="J99" s="250" t="s">
        <v>71</v>
      </c>
      <c r="K99" s="250" t="s">
        <v>72</v>
      </c>
      <c r="L99" s="250" t="s">
        <v>73</v>
      </c>
      <c r="M99" s="245" t="s">
        <v>150</v>
      </c>
      <c r="N99" s="161"/>
      <c r="O99" s="7"/>
      <c r="P99" s="7"/>
      <c r="Q99" s="7"/>
      <c r="R99" s="7"/>
      <c r="S99" s="7"/>
    </row>
    <row r="100" spans="1:19" ht="15">
      <c r="A100" s="252"/>
      <c r="B100" s="72" t="s">
        <v>144</v>
      </c>
      <c r="C100" s="8" t="s">
        <v>32</v>
      </c>
      <c r="D100" s="251"/>
      <c r="E100" s="5" t="s">
        <v>32</v>
      </c>
      <c r="F100" s="5" t="s">
        <v>32</v>
      </c>
      <c r="G100" s="5" t="s">
        <v>33</v>
      </c>
      <c r="H100" s="5" t="s">
        <v>34</v>
      </c>
      <c r="I100" s="246"/>
      <c r="J100" s="246"/>
      <c r="K100" s="246"/>
      <c r="L100" s="246"/>
      <c r="M100" s="246"/>
      <c r="N100" s="161"/>
      <c r="O100" s="20"/>
      <c r="P100" s="21"/>
      <c r="Q100" s="21"/>
      <c r="R100" s="21"/>
      <c r="S100" s="21"/>
    </row>
    <row r="101" spans="1:19" ht="14.25">
      <c r="A101" s="9">
        <v>1</v>
      </c>
      <c r="B101" s="189" t="s">
        <v>177</v>
      </c>
      <c r="C101" s="172">
        <v>40</v>
      </c>
      <c r="D101" s="172" t="s">
        <v>11</v>
      </c>
      <c r="E101" s="172">
        <v>1</v>
      </c>
      <c r="F101" s="172">
        <v>40</v>
      </c>
      <c r="G101" s="16">
        <f>Q5</f>
        <v>9.5</v>
      </c>
      <c r="H101" s="16">
        <f>G101*E101</f>
        <v>9.5</v>
      </c>
      <c r="I101" s="10">
        <v>5.08</v>
      </c>
      <c r="J101" s="10">
        <v>4.6</v>
      </c>
      <c r="K101" s="10">
        <v>0.28</v>
      </c>
      <c r="L101" s="10">
        <v>62.84</v>
      </c>
      <c r="M101" s="179">
        <v>213</v>
      </c>
      <c r="N101" s="161">
        <f>(I101+K101)*4+J101*9</f>
        <v>62.84</v>
      </c>
      <c r="O101" s="20"/>
      <c r="P101" s="21"/>
      <c r="Q101" s="21"/>
      <c r="R101" s="21"/>
      <c r="S101" s="21"/>
    </row>
    <row r="102" spans="1:19" ht="14.25">
      <c r="A102" s="9">
        <v>2</v>
      </c>
      <c r="B102" s="189" t="s">
        <v>178</v>
      </c>
      <c r="C102" s="174">
        <v>100</v>
      </c>
      <c r="D102" s="172" t="s">
        <v>179</v>
      </c>
      <c r="E102" s="172">
        <v>100</v>
      </c>
      <c r="F102" s="172">
        <v>100</v>
      </c>
      <c r="G102" s="5">
        <f>Q28</f>
        <v>110</v>
      </c>
      <c r="H102" s="16">
        <f aca="true" t="shared" si="7" ref="H102:H111">G102*E102/1000</f>
        <v>11</v>
      </c>
      <c r="I102" s="16">
        <v>0.92</v>
      </c>
      <c r="J102" s="16">
        <v>4.73</v>
      </c>
      <c r="K102" s="16">
        <v>5.92</v>
      </c>
      <c r="L102" s="176">
        <v>69.93</v>
      </c>
      <c r="M102" s="183"/>
      <c r="N102" s="161">
        <f>(I102+K102)*4+J102*9</f>
        <v>69.93</v>
      </c>
      <c r="O102" s="20"/>
      <c r="P102" s="21"/>
      <c r="Q102" s="21"/>
      <c r="R102" s="21"/>
      <c r="S102" s="21"/>
    </row>
    <row r="103" spans="1:19" ht="14.25">
      <c r="A103" s="9">
        <v>3</v>
      </c>
      <c r="B103" s="189" t="s">
        <v>213</v>
      </c>
      <c r="C103" s="180">
        <v>150</v>
      </c>
      <c r="D103" s="192" t="s">
        <v>74</v>
      </c>
      <c r="E103" s="181">
        <v>71</v>
      </c>
      <c r="F103" s="182">
        <v>71</v>
      </c>
      <c r="G103" s="5">
        <f>Q45</f>
        <v>38</v>
      </c>
      <c r="H103" s="16">
        <f t="shared" si="7"/>
        <v>2.7</v>
      </c>
      <c r="I103" s="202"/>
      <c r="J103" s="202"/>
      <c r="K103" s="202"/>
      <c r="L103" s="202"/>
      <c r="M103" s="45"/>
      <c r="N103" s="161"/>
      <c r="O103" s="20"/>
      <c r="P103" s="21"/>
      <c r="Q103" s="21"/>
      <c r="R103" s="21"/>
      <c r="S103" s="21"/>
    </row>
    <row r="104" spans="1:19" ht="14.25">
      <c r="A104" s="9"/>
      <c r="B104" s="32"/>
      <c r="C104" s="180"/>
      <c r="D104" s="192" t="s">
        <v>2</v>
      </c>
      <c r="E104" s="181">
        <v>3</v>
      </c>
      <c r="F104" s="182">
        <v>3</v>
      </c>
      <c r="G104" s="5">
        <f>Q56</f>
        <v>85</v>
      </c>
      <c r="H104" s="16">
        <f t="shared" si="7"/>
        <v>0.26</v>
      </c>
      <c r="I104" s="202"/>
      <c r="J104" s="202"/>
      <c r="K104" s="202"/>
      <c r="L104" s="202"/>
      <c r="M104" s="45"/>
      <c r="N104" s="161"/>
      <c r="O104" s="20"/>
      <c r="P104" s="21"/>
      <c r="Q104" s="21"/>
      <c r="R104" s="21"/>
      <c r="S104" s="21"/>
    </row>
    <row r="105" spans="1:19" ht="14.25">
      <c r="A105" s="9"/>
      <c r="B105" s="32"/>
      <c r="C105" s="180"/>
      <c r="D105" s="192" t="s">
        <v>26</v>
      </c>
      <c r="E105" s="181">
        <v>4</v>
      </c>
      <c r="F105" s="182">
        <v>4</v>
      </c>
      <c r="G105" s="5">
        <f>Q39</f>
        <v>138</v>
      </c>
      <c r="H105" s="16">
        <f t="shared" si="7"/>
        <v>0.55</v>
      </c>
      <c r="I105" s="202"/>
      <c r="J105" s="202"/>
      <c r="K105" s="202"/>
      <c r="L105" s="202"/>
      <c r="M105" s="45"/>
      <c r="N105" s="161"/>
      <c r="O105" s="20"/>
      <c r="P105" s="21"/>
      <c r="Q105" s="21"/>
      <c r="R105" s="21"/>
      <c r="S105" s="21"/>
    </row>
    <row r="106" spans="1:19" ht="14.25">
      <c r="A106" s="9"/>
      <c r="B106" s="32"/>
      <c r="C106" s="180"/>
      <c r="D106" s="192" t="s">
        <v>11</v>
      </c>
      <c r="E106" s="181">
        <v>0.16</v>
      </c>
      <c r="F106" s="182">
        <v>0.16</v>
      </c>
      <c r="G106" s="16">
        <f>Q5</f>
        <v>9.5</v>
      </c>
      <c r="H106" s="16">
        <f>G106*E106</f>
        <v>1.52</v>
      </c>
      <c r="I106" s="202"/>
      <c r="J106" s="202"/>
      <c r="K106" s="202"/>
      <c r="L106" s="202"/>
      <c r="M106" s="45"/>
      <c r="N106" s="161"/>
      <c r="O106" s="20"/>
      <c r="P106" s="21"/>
      <c r="Q106" s="21"/>
      <c r="R106" s="21"/>
      <c r="S106" s="21"/>
    </row>
    <row r="107" spans="1:19" ht="14.25">
      <c r="A107" s="9"/>
      <c r="B107" s="32"/>
      <c r="C107" s="180"/>
      <c r="D107" s="192" t="s">
        <v>181</v>
      </c>
      <c r="E107" s="181">
        <v>1</v>
      </c>
      <c r="F107" s="182">
        <v>1</v>
      </c>
      <c r="G107" s="5">
        <f>Q59</f>
        <v>377</v>
      </c>
      <c r="H107" s="16">
        <f t="shared" si="7"/>
        <v>0.38</v>
      </c>
      <c r="I107" s="202"/>
      <c r="J107" s="202"/>
      <c r="K107" s="202"/>
      <c r="L107" s="202"/>
      <c r="M107" s="45"/>
      <c r="N107" s="161"/>
      <c r="O107" s="20"/>
      <c r="P107" s="21"/>
      <c r="Q107" s="21"/>
      <c r="R107" s="21"/>
      <c r="S107" s="21"/>
    </row>
    <row r="108" spans="1:19" ht="14.25">
      <c r="A108" s="9"/>
      <c r="B108" s="32"/>
      <c r="C108" s="180"/>
      <c r="D108" s="172" t="s">
        <v>212</v>
      </c>
      <c r="E108" s="173">
        <v>40</v>
      </c>
      <c r="F108" s="173">
        <v>34</v>
      </c>
      <c r="G108" s="5">
        <f>Q7</f>
        <v>257</v>
      </c>
      <c r="H108" s="16">
        <f t="shared" si="7"/>
        <v>10.28</v>
      </c>
      <c r="I108" s="202"/>
      <c r="J108" s="202"/>
      <c r="K108" s="202"/>
      <c r="L108" s="202"/>
      <c r="M108" s="45"/>
      <c r="N108" s="161"/>
      <c r="O108" s="20"/>
      <c r="P108" s="21"/>
      <c r="Q108" s="21"/>
      <c r="R108" s="21"/>
      <c r="S108" s="21"/>
    </row>
    <row r="109" spans="1:19" ht="14.25">
      <c r="A109" s="9"/>
      <c r="B109" s="32"/>
      <c r="C109" s="180"/>
      <c r="D109" s="172" t="s">
        <v>23</v>
      </c>
      <c r="E109" s="173">
        <v>16</v>
      </c>
      <c r="F109" s="173">
        <v>16</v>
      </c>
      <c r="G109" s="5">
        <f>Q14</f>
        <v>528</v>
      </c>
      <c r="H109" s="16">
        <f t="shared" si="7"/>
        <v>8.45</v>
      </c>
      <c r="I109" s="111"/>
      <c r="J109" s="111"/>
      <c r="K109" s="111"/>
      <c r="L109" s="111"/>
      <c r="M109" s="169"/>
      <c r="N109" s="161"/>
      <c r="O109" s="20"/>
      <c r="P109" s="21"/>
      <c r="Q109" s="21"/>
      <c r="R109" s="21"/>
      <c r="S109" s="21"/>
    </row>
    <row r="110" spans="1:19" ht="14.25">
      <c r="A110" s="218"/>
      <c r="B110" s="32"/>
      <c r="C110" s="180"/>
      <c r="D110" s="172" t="s">
        <v>18</v>
      </c>
      <c r="E110" s="173">
        <v>6</v>
      </c>
      <c r="F110" s="173">
        <v>6</v>
      </c>
      <c r="G110" s="5">
        <f>Q30</f>
        <v>123</v>
      </c>
      <c r="H110" s="16">
        <f t="shared" si="7"/>
        <v>0.74</v>
      </c>
      <c r="I110" s="219"/>
      <c r="J110" s="219"/>
      <c r="K110" s="219"/>
      <c r="L110" s="219"/>
      <c r="M110" s="169"/>
      <c r="N110" s="161"/>
      <c r="O110" s="20"/>
      <c r="P110" s="21"/>
      <c r="Q110" s="21"/>
      <c r="R110" s="21"/>
      <c r="S110" s="21"/>
    </row>
    <row r="111" spans="1:19" ht="14.25">
      <c r="A111" s="218"/>
      <c r="B111" s="32"/>
      <c r="C111" s="180"/>
      <c r="D111" s="172" t="s">
        <v>9</v>
      </c>
      <c r="E111" s="173">
        <v>16</v>
      </c>
      <c r="F111" s="172">
        <v>16</v>
      </c>
      <c r="G111" s="5">
        <f>Q12</f>
        <v>182</v>
      </c>
      <c r="H111" s="16">
        <f t="shared" si="7"/>
        <v>2.91</v>
      </c>
      <c r="I111" s="176">
        <v>17.83</v>
      </c>
      <c r="J111" s="176">
        <v>24.38</v>
      </c>
      <c r="K111" s="176">
        <v>42.46</v>
      </c>
      <c r="L111" s="176">
        <v>460.58</v>
      </c>
      <c r="M111" s="220">
        <v>413</v>
      </c>
      <c r="N111" s="161">
        <f>(I111+K111)*4+J111*9</f>
        <v>460.58</v>
      </c>
      <c r="O111" s="20"/>
      <c r="P111" s="21"/>
      <c r="Q111" s="21"/>
      <c r="R111" s="21"/>
      <c r="S111" s="21"/>
    </row>
    <row r="112" spans="1:19" ht="14.25">
      <c r="A112" s="33">
        <v>4</v>
      </c>
      <c r="B112" s="14" t="s">
        <v>79</v>
      </c>
      <c r="C112" s="5">
        <v>200</v>
      </c>
      <c r="D112" s="5" t="s">
        <v>132</v>
      </c>
      <c r="E112" s="33">
        <v>3</v>
      </c>
      <c r="F112" s="33">
        <v>3</v>
      </c>
      <c r="G112" s="5">
        <f>Q62</f>
        <v>480</v>
      </c>
      <c r="H112" s="16">
        <f>G112*E112/1000</f>
        <v>1.44</v>
      </c>
      <c r="I112" s="38"/>
      <c r="J112" s="38"/>
      <c r="K112" s="38"/>
      <c r="L112" s="38"/>
      <c r="M112" s="45"/>
      <c r="N112" s="161"/>
      <c r="O112" s="21"/>
      <c r="P112" s="21"/>
      <c r="Q112" s="21"/>
      <c r="R112" s="21"/>
      <c r="S112" s="21"/>
    </row>
    <row r="113" spans="1:19" ht="14.25">
      <c r="A113" s="33"/>
      <c r="B113" s="14"/>
      <c r="C113" s="5"/>
      <c r="D113" s="5" t="s">
        <v>10</v>
      </c>
      <c r="E113" s="33">
        <v>90</v>
      </c>
      <c r="F113" s="33">
        <v>90</v>
      </c>
      <c r="G113" s="5">
        <f>Q10</f>
        <v>70</v>
      </c>
      <c r="H113" s="16">
        <f>G113*E113/1000</f>
        <v>6.3</v>
      </c>
      <c r="I113" s="38"/>
      <c r="J113" s="38"/>
      <c r="K113" s="38"/>
      <c r="L113" s="38"/>
      <c r="M113" s="45"/>
      <c r="N113" s="161"/>
      <c r="O113" s="21"/>
      <c r="P113" s="21"/>
      <c r="Q113" s="21"/>
      <c r="R113" s="21"/>
      <c r="S113" s="21"/>
    </row>
    <row r="114" spans="1:19" ht="14.25">
      <c r="A114" s="33"/>
      <c r="B114" s="14"/>
      <c r="C114" s="5"/>
      <c r="D114" s="5" t="s">
        <v>2</v>
      </c>
      <c r="E114" s="33">
        <v>14</v>
      </c>
      <c r="F114" s="33">
        <v>14</v>
      </c>
      <c r="G114" s="5">
        <f>Q56</f>
        <v>85</v>
      </c>
      <c r="H114" s="16">
        <f>G114*E114/1000</f>
        <v>1.19</v>
      </c>
      <c r="I114" s="204">
        <v>3.17</v>
      </c>
      <c r="J114" s="204">
        <v>5.58</v>
      </c>
      <c r="K114" s="204">
        <v>15.96</v>
      </c>
      <c r="L114" s="202">
        <f>(I114+K114)*4+J114*9</f>
        <v>126.74</v>
      </c>
      <c r="M114" s="203">
        <v>395</v>
      </c>
      <c r="N114" s="161">
        <f>(I114+K114)*4+J114*9</f>
        <v>126.74</v>
      </c>
      <c r="O114" s="21"/>
      <c r="P114" s="21"/>
      <c r="Q114" s="21"/>
      <c r="R114" s="21"/>
      <c r="S114" s="21"/>
    </row>
    <row r="115" spans="1:19" ht="14.25">
      <c r="A115" s="33">
        <v>5</v>
      </c>
      <c r="B115" s="198" t="s">
        <v>137</v>
      </c>
      <c r="C115" s="5">
        <v>100</v>
      </c>
      <c r="D115" s="5" t="s">
        <v>138</v>
      </c>
      <c r="E115" s="33">
        <v>100</v>
      </c>
      <c r="F115" s="33"/>
      <c r="G115" s="5">
        <f>Q31</f>
        <v>112</v>
      </c>
      <c r="H115" s="16">
        <f>G115*E115/1000</f>
        <v>11.2</v>
      </c>
      <c r="I115" s="16">
        <v>0.4</v>
      </c>
      <c r="J115" s="16">
        <v>0.4</v>
      </c>
      <c r="K115" s="16">
        <v>9.8</v>
      </c>
      <c r="L115" s="16">
        <v>44.4</v>
      </c>
      <c r="M115" s="203">
        <v>368</v>
      </c>
      <c r="N115" s="161">
        <f>(I115+K115)*4+J115*9</f>
        <v>44.4</v>
      </c>
      <c r="O115" s="21"/>
      <c r="P115" s="21"/>
      <c r="Q115" s="21"/>
      <c r="R115" s="21"/>
      <c r="S115" s="21"/>
    </row>
    <row r="116" spans="1:19" ht="14.25">
      <c r="A116" s="5"/>
      <c r="B116" s="14"/>
      <c r="C116" s="5"/>
      <c r="D116" s="5" t="s">
        <v>170</v>
      </c>
      <c r="E116" s="5">
        <v>2</v>
      </c>
      <c r="F116" s="5">
        <v>2</v>
      </c>
      <c r="G116" s="5">
        <f>Q60</f>
        <v>24</v>
      </c>
      <c r="H116" s="16">
        <f>G116*E116/1000</f>
        <v>0.05</v>
      </c>
      <c r="I116" s="2"/>
      <c r="J116" s="2"/>
      <c r="K116" s="2"/>
      <c r="L116" s="2"/>
      <c r="M116" s="45"/>
      <c r="N116" s="161"/>
      <c r="O116" s="21"/>
      <c r="P116" s="21"/>
      <c r="Q116" s="21"/>
      <c r="R116" s="21"/>
      <c r="S116" s="21"/>
    </row>
    <row r="117" spans="1:19" ht="15">
      <c r="A117" s="15"/>
      <c r="B117" s="14"/>
      <c r="C117" s="209">
        <f>SUM(C101:C116)</f>
        <v>590</v>
      </c>
      <c r="D117" s="5"/>
      <c r="E117" s="5"/>
      <c r="F117" s="5"/>
      <c r="G117" s="16"/>
      <c r="H117" s="69">
        <f>SUM(H101:H116)</f>
        <v>68.47</v>
      </c>
      <c r="I117" s="69">
        <f>SUM(I101:I116)</f>
        <v>27.4</v>
      </c>
      <c r="J117" s="69">
        <f>SUM(J101:J116)</f>
        <v>39.69</v>
      </c>
      <c r="K117" s="69">
        <f>SUM(K101:K116)</f>
        <v>74.42</v>
      </c>
      <c r="L117" s="69">
        <f>SUM(L101:L116)</f>
        <v>764.49</v>
      </c>
      <c r="M117" s="45"/>
      <c r="N117" s="161">
        <f>(I117+K117)*4+J117*9</f>
        <v>764.49</v>
      </c>
      <c r="O117" s="21"/>
      <c r="P117" s="21"/>
      <c r="Q117" s="21"/>
      <c r="R117" s="21"/>
      <c r="S117" s="21"/>
    </row>
    <row r="118" spans="1:18" ht="15">
      <c r="A118" s="15"/>
      <c r="B118" s="73" t="s">
        <v>145</v>
      </c>
      <c r="C118" s="8"/>
      <c r="D118" s="8"/>
      <c r="E118" s="5"/>
      <c r="F118" s="5"/>
      <c r="G118" s="5"/>
      <c r="H118" s="16"/>
      <c r="I118" s="16"/>
      <c r="J118" s="16"/>
      <c r="K118" s="16"/>
      <c r="L118" s="16"/>
      <c r="M118" s="45"/>
      <c r="N118" s="161"/>
      <c r="O118" s="7"/>
      <c r="P118" s="7"/>
      <c r="Q118" s="7"/>
      <c r="R118" s="7"/>
    </row>
    <row r="119" spans="1:18" ht="14.25">
      <c r="A119" s="5">
        <v>1</v>
      </c>
      <c r="B119" s="32" t="s">
        <v>157</v>
      </c>
      <c r="C119" s="102">
        <v>250</v>
      </c>
      <c r="D119" s="28" t="s">
        <v>7</v>
      </c>
      <c r="E119" s="5">
        <v>79</v>
      </c>
      <c r="F119" s="5">
        <v>53</v>
      </c>
      <c r="G119" s="34">
        <f>Q22</f>
        <v>57</v>
      </c>
      <c r="H119" s="16">
        <f aca="true" t="shared" si="8" ref="H119:H124">G119*E119/1000</f>
        <v>4.5</v>
      </c>
      <c r="I119" s="16"/>
      <c r="J119" s="16"/>
      <c r="K119" s="16"/>
      <c r="L119" s="16"/>
      <c r="M119" s="45"/>
      <c r="N119" s="161"/>
      <c r="O119" s="7"/>
      <c r="P119" s="7"/>
      <c r="Q119" s="7"/>
      <c r="R119" s="7"/>
    </row>
    <row r="120" spans="1:14" ht="14.25">
      <c r="A120" s="5"/>
      <c r="B120" s="32"/>
      <c r="C120" s="28"/>
      <c r="D120" s="28" t="s">
        <v>28</v>
      </c>
      <c r="E120" s="5">
        <v>2</v>
      </c>
      <c r="F120" s="5">
        <v>2</v>
      </c>
      <c r="G120" s="34">
        <f>Q11</f>
        <v>490</v>
      </c>
      <c r="H120" s="16">
        <f t="shared" si="8"/>
        <v>0.98</v>
      </c>
      <c r="I120" s="16"/>
      <c r="J120" s="16"/>
      <c r="K120" s="16"/>
      <c r="L120" s="16"/>
      <c r="M120" s="45"/>
      <c r="N120" s="161"/>
    </row>
    <row r="121" spans="1:14" ht="14.25">
      <c r="A121" s="5"/>
      <c r="B121" s="25"/>
      <c r="C121" s="28"/>
      <c r="D121" s="28" t="s">
        <v>8</v>
      </c>
      <c r="E121" s="5">
        <v>13</v>
      </c>
      <c r="F121" s="5">
        <v>11</v>
      </c>
      <c r="G121" s="34">
        <f>Q25</f>
        <v>66</v>
      </c>
      <c r="H121" s="16">
        <f t="shared" si="8"/>
        <v>0.86</v>
      </c>
      <c r="I121" s="16"/>
      <c r="J121" s="16"/>
      <c r="K121" s="16"/>
      <c r="L121" s="16"/>
      <c r="M121" s="45"/>
      <c r="N121" s="161"/>
    </row>
    <row r="122" spans="1:14" ht="14.25">
      <c r="A122" s="5"/>
      <c r="B122" s="25"/>
      <c r="C122" s="28"/>
      <c r="D122" s="28" t="s">
        <v>6</v>
      </c>
      <c r="E122" s="5">
        <v>11</v>
      </c>
      <c r="F122" s="5">
        <v>10</v>
      </c>
      <c r="G122" s="34">
        <f>Q24</f>
        <v>46</v>
      </c>
      <c r="H122" s="16">
        <f t="shared" si="8"/>
        <v>0.51</v>
      </c>
      <c r="I122" s="16"/>
      <c r="J122" s="16"/>
      <c r="K122" s="16"/>
      <c r="L122" s="16"/>
      <c r="M122" s="45"/>
      <c r="N122" s="161"/>
    </row>
    <row r="123" spans="1:14" ht="14.25">
      <c r="A123" s="5"/>
      <c r="B123" s="25"/>
      <c r="C123" s="28"/>
      <c r="D123" s="28" t="s">
        <v>26</v>
      </c>
      <c r="E123" s="5">
        <v>2</v>
      </c>
      <c r="F123" s="5">
        <v>2</v>
      </c>
      <c r="G123" s="34">
        <f>Q39</f>
        <v>138</v>
      </c>
      <c r="H123" s="16">
        <f t="shared" si="8"/>
        <v>0.28</v>
      </c>
      <c r="I123" s="16"/>
      <c r="J123" s="16"/>
      <c r="K123" s="16"/>
      <c r="L123" s="16"/>
      <c r="M123" s="45"/>
      <c r="N123" s="161"/>
    </row>
    <row r="124" spans="1:14" ht="14.25">
      <c r="A124" s="5"/>
      <c r="B124" s="25"/>
      <c r="C124" s="28"/>
      <c r="D124" s="28" t="s">
        <v>74</v>
      </c>
      <c r="E124" s="5">
        <v>12</v>
      </c>
      <c r="F124" s="5">
        <v>12</v>
      </c>
      <c r="G124" s="34">
        <f>Q45</f>
        <v>38</v>
      </c>
      <c r="H124" s="16">
        <f t="shared" si="8"/>
        <v>0.46</v>
      </c>
      <c r="I124" s="16"/>
      <c r="J124" s="16"/>
      <c r="K124" s="16"/>
      <c r="L124" s="16"/>
      <c r="M124" s="45"/>
      <c r="N124" s="161"/>
    </row>
    <row r="125" spans="1:14" ht="14.25">
      <c r="A125" s="5"/>
      <c r="B125" s="25"/>
      <c r="C125" s="28"/>
      <c r="D125" s="28" t="s">
        <v>11</v>
      </c>
      <c r="E125" s="5">
        <v>0.2</v>
      </c>
      <c r="F125" s="5">
        <v>0.2</v>
      </c>
      <c r="G125" s="78">
        <f>Q5</f>
        <v>9.5</v>
      </c>
      <c r="H125" s="16">
        <f>G125*E125</f>
        <v>1.9</v>
      </c>
      <c r="I125" s="16">
        <v>3.38</v>
      </c>
      <c r="J125" s="16">
        <v>4.48</v>
      </c>
      <c r="K125" s="16">
        <v>22.48</v>
      </c>
      <c r="L125" s="16">
        <v>143.76</v>
      </c>
      <c r="M125" s="184">
        <v>42</v>
      </c>
      <c r="N125" s="161">
        <f>(I125+K125)*4+J125*9</f>
        <v>143.76</v>
      </c>
    </row>
    <row r="126" spans="1:14" ht="14.25">
      <c r="A126" s="15">
        <v>2</v>
      </c>
      <c r="B126" s="31" t="s">
        <v>133</v>
      </c>
      <c r="C126" s="34" t="s">
        <v>219</v>
      </c>
      <c r="D126" s="5" t="s">
        <v>134</v>
      </c>
      <c r="E126" s="5">
        <v>101</v>
      </c>
      <c r="F126" s="5">
        <v>95</v>
      </c>
      <c r="G126" s="5">
        <f>Q7</f>
        <v>257</v>
      </c>
      <c r="H126" s="16">
        <f>E126*G126/1000</f>
        <v>25.96</v>
      </c>
      <c r="I126" s="16"/>
      <c r="J126" s="16"/>
      <c r="K126" s="16"/>
      <c r="L126" s="16"/>
      <c r="M126" s="45"/>
      <c r="N126" s="161"/>
    </row>
    <row r="127" spans="1:14" ht="14.25">
      <c r="A127" s="15"/>
      <c r="B127" s="31"/>
      <c r="C127" s="5"/>
      <c r="D127" s="8" t="s">
        <v>9</v>
      </c>
      <c r="E127" s="5">
        <v>11</v>
      </c>
      <c r="F127" s="5">
        <v>11</v>
      </c>
      <c r="G127" s="5">
        <f>Q12</f>
        <v>182</v>
      </c>
      <c r="H127" s="16">
        <f>E127*G127/1000</f>
        <v>2</v>
      </c>
      <c r="I127" s="16"/>
      <c r="J127" s="16"/>
      <c r="K127" s="16"/>
      <c r="L127" s="16"/>
      <c r="M127" s="45"/>
      <c r="N127" s="161"/>
    </row>
    <row r="128" spans="1:14" ht="14.25">
      <c r="A128" s="15"/>
      <c r="B128" s="31"/>
      <c r="C128" s="5"/>
      <c r="D128" s="8" t="s">
        <v>74</v>
      </c>
      <c r="E128" s="5">
        <v>5</v>
      </c>
      <c r="F128" s="5">
        <v>5</v>
      </c>
      <c r="G128" s="5">
        <f>Q45</f>
        <v>38</v>
      </c>
      <c r="H128" s="16">
        <f>E128*G128/1000</f>
        <v>0.19</v>
      </c>
      <c r="I128" s="16"/>
      <c r="J128" s="16"/>
      <c r="K128" s="16"/>
      <c r="L128" s="16"/>
      <c r="M128" s="45"/>
      <c r="N128" s="161"/>
    </row>
    <row r="129" spans="1:15" ht="15">
      <c r="A129" s="15"/>
      <c r="B129" s="31"/>
      <c r="C129" s="5"/>
      <c r="D129" s="8" t="s">
        <v>27</v>
      </c>
      <c r="E129" s="5">
        <v>5</v>
      </c>
      <c r="F129" s="5">
        <v>5</v>
      </c>
      <c r="G129" s="45">
        <f>Q30</f>
        <v>123</v>
      </c>
      <c r="H129" s="16">
        <f aca="true" t="shared" si="9" ref="H129:H135">G129*E129/1000</f>
        <v>0.62</v>
      </c>
      <c r="I129" s="224">
        <v>19.88</v>
      </c>
      <c r="J129" s="224">
        <v>23.97</v>
      </c>
      <c r="K129" s="224">
        <v>4.82</v>
      </c>
      <c r="L129" s="224">
        <v>314.53</v>
      </c>
      <c r="M129" s="225">
        <v>703</v>
      </c>
      <c r="N129" s="161">
        <f>(I129+K129)*4+J129*9</f>
        <v>314.53</v>
      </c>
      <c r="O129" s="46"/>
    </row>
    <row r="130" spans="1:14" ht="14.25">
      <c r="A130" s="15">
        <v>3</v>
      </c>
      <c r="B130" s="31" t="s">
        <v>131</v>
      </c>
      <c r="C130" s="5">
        <v>150</v>
      </c>
      <c r="D130" s="8" t="s">
        <v>129</v>
      </c>
      <c r="E130" s="5">
        <v>55</v>
      </c>
      <c r="F130" s="5">
        <v>55</v>
      </c>
      <c r="G130" s="34">
        <f>Q46</f>
        <v>122</v>
      </c>
      <c r="H130" s="16">
        <f t="shared" si="9"/>
        <v>6.71</v>
      </c>
      <c r="I130" s="16"/>
      <c r="J130" s="16"/>
      <c r="K130" s="16"/>
      <c r="L130" s="16"/>
      <c r="M130" s="45"/>
      <c r="N130" s="161"/>
    </row>
    <row r="131" spans="1:14" ht="14.25">
      <c r="A131" s="15"/>
      <c r="B131" s="31"/>
      <c r="C131" s="5"/>
      <c r="D131" s="8" t="s">
        <v>28</v>
      </c>
      <c r="E131" s="5">
        <v>5</v>
      </c>
      <c r="F131" s="5">
        <v>5</v>
      </c>
      <c r="G131" s="34">
        <f>Q11</f>
        <v>490</v>
      </c>
      <c r="H131" s="16">
        <f t="shared" si="9"/>
        <v>2.45</v>
      </c>
      <c r="I131" s="204">
        <v>8.63</v>
      </c>
      <c r="J131" s="202">
        <v>6.09</v>
      </c>
      <c r="K131" s="202">
        <v>38.64</v>
      </c>
      <c r="L131" s="202">
        <f>(I131+K131)*4+J131*9</f>
        <v>243.89</v>
      </c>
      <c r="M131" s="203">
        <v>302</v>
      </c>
      <c r="N131" s="161">
        <f>(I131+K131)*4+J131*9</f>
        <v>243.89</v>
      </c>
    </row>
    <row r="132" spans="1:14" ht="14.25">
      <c r="A132" s="15">
        <v>4</v>
      </c>
      <c r="B132" s="31" t="s">
        <v>166</v>
      </c>
      <c r="C132" s="5">
        <v>60</v>
      </c>
      <c r="D132" s="8" t="s">
        <v>15</v>
      </c>
      <c r="E132" s="5">
        <v>46</v>
      </c>
      <c r="F132" s="5">
        <v>34</v>
      </c>
      <c r="G132" s="34">
        <f>Q26</f>
        <v>45</v>
      </c>
      <c r="H132" s="16">
        <f t="shared" si="9"/>
        <v>2.07</v>
      </c>
      <c r="I132" s="204"/>
      <c r="J132" s="202"/>
      <c r="K132" s="202"/>
      <c r="L132" s="202"/>
      <c r="M132" s="203"/>
      <c r="N132" s="161"/>
    </row>
    <row r="133" spans="1:14" ht="14.25">
      <c r="A133" s="15"/>
      <c r="B133" s="31" t="s">
        <v>167</v>
      </c>
      <c r="C133" s="5"/>
      <c r="D133" s="8" t="s">
        <v>165</v>
      </c>
      <c r="E133" s="5">
        <v>35</v>
      </c>
      <c r="F133" s="5">
        <v>32</v>
      </c>
      <c r="G133" s="34">
        <f>Q29</f>
        <v>120</v>
      </c>
      <c r="H133" s="16">
        <f t="shared" si="9"/>
        <v>4.2</v>
      </c>
      <c r="I133" s="204"/>
      <c r="J133" s="202"/>
      <c r="K133" s="202"/>
      <c r="L133" s="202"/>
      <c r="M133" s="203"/>
      <c r="N133" s="161"/>
    </row>
    <row r="134" spans="1:14" ht="14.25">
      <c r="A134" s="15"/>
      <c r="B134" s="31"/>
      <c r="C134" s="5"/>
      <c r="D134" s="8" t="s">
        <v>6</v>
      </c>
      <c r="E134" s="5">
        <v>4</v>
      </c>
      <c r="F134" s="5">
        <v>2</v>
      </c>
      <c r="G134" s="34">
        <f>Q24</f>
        <v>46</v>
      </c>
      <c r="H134" s="16">
        <f t="shared" si="9"/>
        <v>0.18</v>
      </c>
      <c r="I134" s="204"/>
      <c r="J134" s="202"/>
      <c r="K134" s="202"/>
      <c r="L134" s="202"/>
      <c r="M134" s="203"/>
      <c r="N134" s="161"/>
    </row>
    <row r="135" spans="1:14" ht="14.25">
      <c r="A135" s="15"/>
      <c r="B135" s="31"/>
      <c r="C135" s="5"/>
      <c r="D135" s="8" t="s">
        <v>26</v>
      </c>
      <c r="E135" s="5">
        <v>4</v>
      </c>
      <c r="F135" s="5">
        <v>4</v>
      </c>
      <c r="G135" s="34">
        <f>Q39</f>
        <v>138</v>
      </c>
      <c r="H135" s="16">
        <f t="shared" si="9"/>
        <v>0.55</v>
      </c>
      <c r="I135" s="204">
        <v>1</v>
      </c>
      <c r="J135" s="204">
        <v>2.5</v>
      </c>
      <c r="K135" s="204">
        <v>4.92</v>
      </c>
      <c r="L135" s="202">
        <v>46.18</v>
      </c>
      <c r="M135" s="203">
        <v>34</v>
      </c>
      <c r="N135" s="161">
        <f>(I135+K135)*4+J135*9</f>
        <v>46.18</v>
      </c>
    </row>
    <row r="136" spans="1:14" ht="14.25">
      <c r="A136" s="15">
        <v>5</v>
      </c>
      <c r="B136" s="14" t="s">
        <v>35</v>
      </c>
      <c r="C136" s="5">
        <v>50</v>
      </c>
      <c r="D136" s="5" t="s">
        <v>19</v>
      </c>
      <c r="E136" s="5">
        <v>50</v>
      </c>
      <c r="F136" s="5">
        <v>50</v>
      </c>
      <c r="G136" s="5">
        <f>Q66</f>
        <v>48</v>
      </c>
      <c r="H136" s="16">
        <f aca="true" t="shared" si="10" ref="H136:H141">E136*G136/1000</f>
        <v>2.4</v>
      </c>
      <c r="I136" s="202">
        <v>3.06</v>
      </c>
      <c r="J136" s="202">
        <v>9.54</v>
      </c>
      <c r="K136" s="202">
        <v>18.28</v>
      </c>
      <c r="L136" s="202">
        <f>(I136+K136)*4+J136*9</f>
        <v>171.22</v>
      </c>
      <c r="M136" s="203"/>
      <c r="N136" s="161">
        <f>(I136+K136)*4+J136*9</f>
        <v>171.22</v>
      </c>
    </row>
    <row r="137" spans="1:14" ht="14.25">
      <c r="A137" s="5">
        <v>6</v>
      </c>
      <c r="B137" s="14" t="s">
        <v>25</v>
      </c>
      <c r="C137" s="5">
        <v>200</v>
      </c>
      <c r="D137" s="5" t="s">
        <v>20</v>
      </c>
      <c r="E137" s="5">
        <v>14</v>
      </c>
      <c r="F137" s="5">
        <v>14</v>
      </c>
      <c r="G137" s="5">
        <f>Q35</f>
        <v>148</v>
      </c>
      <c r="H137" s="29">
        <f t="shared" si="10"/>
        <v>2.07</v>
      </c>
      <c r="I137" s="202"/>
      <c r="J137" s="202"/>
      <c r="K137" s="202"/>
      <c r="L137" s="202"/>
      <c r="M137" s="203"/>
      <c r="N137" s="161"/>
    </row>
    <row r="138" spans="1:14" ht="14.25">
      <c r="A138" s="15"/>
      <c r="B138" s="14"/>
      <c r="C138" s="5"/>
      <c r="D138" s="5" t="s">
        <v>2</v>
      </c>
      <c r="E138" s="5">
        <v>13</v>
      </c>
      <c r="F138" s="5">
        <v>13</v>
      </c>
      <c r="G138" s="5">
        <f>Q56</f>
        <v>85</v>
      </c>
      <c r="H138" s="29">
        <f t="shared" si="10"/>
        <v>1.11</v>
      </c>
      <c r="I138" s="205">
        <v>0.04</v>
      </c>
      <c r="J138" s="205">
        <v>0</v>
      </c>
      <c r="K138" s="205">
        <v>24.76</v>
      </c>
      <c r="L138" s="202">
        <f>(I138+K138)*4+J138*9</f>
        <v>99.2</v>
      </c>
      <c r="M138" s="203">
        <v>349</v>
      </c>
      <c r="N138" s="161">
        <f>(I138+K138)*4+J138*9</f>
        <v>99.2</v>
      </c>
    </row>
    <row r="139" spans="1:14" ht="14.25">
      <c r="A139" s="15">
        <v>7</v>
      </c>
      <c r="B139" s="200" t="s">
        <v>137</v>
      </c>
      <c r="C139" s="5">
        <v>75</v>
      </c>
      <c r="D139" s="5" t="s">
        <v>138</v>
      </c>
      <c r="E139" s="5">
        <v>75</v>
      </c>
      <c r="F139" s="5"/>
      <c r="G139" s="5">
        <f>Q31</f>
        <v>112</v>
      </c>
      <c r="H139" s="29">
        <f t="shared" si="10"/>
        <v>8.4</v>
      </c>
      <c r="I139" s="202">
        <v>0.3</v>
      </c>
      <c r="J139" s="202">
        <v>0.3</v>
      </c>
      <c r="K139" s="202">
        <v>7.35</v>
      </c>
      <c r="L139" s="202">
        <v>33.3</v>
      </c>
      <c r="M139" s="203">
        <v>368</v>
      </c>
      <c r="N139" s="161">
        <f>(I139+K139)*4+J139*9</f>
        <v>33.3</v>
      </c>
    </row>
    <row r="140" spans="1:14" ht="14.25">
      <c r="A140" s="15"/>
      <c r="B140" s="5"/>
      <c r="C140" s="5"/>
      <c r="D140" s="5" t="s">
        <v>170</v>
      </c>
      <c r="E140" s="5">
        <v>2.5</v>
      </c>
      <c r="F140" s="5">
        <v>2.5</v>
      </c>
      <c r="G140" s="5">
        <f>Q60</f>
        <v>24</v>
      </c>
      <c r="H140" s="29">
        <f t="shared" si="10"/>
        <v>0.06</v>
      </c>
      <c r="I140" s="16"/>
      <c r="J140" s="16"/>
      <c r="K140" s="16"/>
      <c r="L140" s="16"/>
      <c r="M140" s="45"/>
      <c r="N140" s="161"/>
    </row>
    <row r="141" spans="1:14" ht="14.25">
      <c r="A141" s="15"/>
      <c r="B141" s="5"/>
      <c r="C141" s="5"/>
      <c r="D141" s="5" t="s">
        <v>94</v>
      </c>
      <c r="E141" s="5">
        <v>0.02</v>
      </c>
      <c r="F141" s="5">
        <v>0.02</v>
      </c>
      <c r="G141" s="5">
        <f>Q65</f>
        <v>483</v>
      </c>
      <c r="H141" s="29">
        <f t="shared" si="10"/>
        <v>0.01</v>
      </c>
      <c r="I141" s="16"/>
      <c r="J141" s="16"/>
      <c r="K141" s="16"/>
      <c r="L141" s="16"/>
      <c r="M141" s="45"/>
      <c r="N141" s="161"/>
    </row>
    <row r="142" spans="1:14" ht="15">
      <c r="A142" s="15"/>
      <c r="B142" s="5"/>
      <c r="C142" s="209">
        <v>905</v>
      </c>
      <c r="D142" s="5"/>
      <c r="E142" s="5"/>
      <c r="F142" s="5"/>
      <c r="G142" s="34"/>
      <c r="H142" s="69">
        <f>SUM(H119:H141)</f>
        <v>68.47</v>
      </c>
      <c r="I142" s="69">
        <f>SUM(I119:I141)</f>
        <v>36.29</v>
      </c>
      <c r="J142" s="69">
        <f>SUM(J119:J141)</f>
        <v>46.88</v>
      </c>
      <c r="K142" s="69">
        <f>SUM(K119:K141)</f>
        <v>121.25</v>
      </c>
      <c r="L142" s="69">
        <f>SUM(L119:L141)</f>
        <v>1052.08</v>
      </c>
      <c r="M142" s="152"/>
      <c r="N142" s="161">
        <f>(I142+K142)*4+J142*9</f>
        <v>1052.08</v>
      </c>
    </row>
    <row r="143" spans="1:14" ht="15">
      <c r="A143" s="27"/>
      <c r="B143" s="74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167"/>
      <c r="N143" s="161"/>
    </row>
    <row r="144" spans="1:14" s="71" customFormat="1" ht="15">
      <c r="A144" s="231"/>
      <c r="B144" s="74" t="s">
        <v>69</v>
      </c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167"/>
      <c r="N144" s="197"/>
    </row>
    <row r="145" spans="1:14" ht="28.5">
      <c r="A145" s="247" t="s">
        <v>3</v>
      </c>
      <c r="B145" s="3"/>
      <c r="C145" s="8" t="s">
        <v>4</v>
      </c>
      <c r="D145" s="247" t="s">
        <v>29</v>
      </c>
      <c r="E145" s="101" t="s">
        <v>12</v>
      </c>
      <c r="F145" s="101" t="s">
        <v>57</v>
      </c>
      <c r="G145" s="101" t="s">
        <v>30</v>
      </c>
      <c r="H145" s="101" t="s">
        <v>31</v>
      </c>
      <c r="I145" s="250" t="s">
        <v>70</v>
      </c>
      <c r="J145" s="250" t="s">
        <v>71</v>
      </c>
      <c r="K145" s="250" t="s">
        <v>72</v>
      </c>
      <c r="L145" s="250" t="s">
        <v>73</v>
      </c>
      <c r="M145" s="245" t="s">
        <v>150</v>
      </c>
      <c r="N145" s="161"/>
    </row>
    <row r="146" spans="1:14" ht="15">
      <c r="A146" s="252"/>
      <c r="B146" s="72" t="s">
        <v>144</v>
      </c>
      <c r="C146" s="8" t="s">
        <v>32</v>
      </c>
      <c r="D146" s="251"/>
      <c r="E146" s="5" t="s">
        <v>32</v>
      </c>
      <c r="F146" s="58" t="s">
        <v>32</v>
      </c>
      <c r="G146" s="58" t="s">
        <v>33</v>
      </c>
      <c r="H146" s="28" t="s">
        <v>34</v>
      </c>
      <c r="I146" s="246"/>
      <c r="J146" s="246"/>
      <c r="K146" s="246"/>
      <c r="L146" s="246"/>
      <c r="M146" s="246"/>
      <c r="N146" s="161"/>
    </row>
    <row r="147" spans="1:14" ht="14.25">
      <c r="A147" s="143">
        <v>1</v>
      </c>
      <c r="B147" s="221" t="s">
        <v>218</v>
      </c>
      <c r="C147" s="5">
        <v>100</v>
      </c>
      <c r="D147" s="33" t="s">
        <v>78</v>
      </c>
      <c r="E147" s="33">
        <v>137</v>
      </c>
      <c r="F147" s="33">
        <v>109</v>
      </c>
      <c r="G147" s="184">
        <f>Q40</f>
        <v>207</v>
      </c>
      <c r="H147" s="16">
        <f aca="true" t="shared" si="11" ref="H147:H165">E147*G147/1000</f>
        <v>28.36</v>
      </c>
      <c r="I147" s="16"/>
      <c r="J147" s="16"/>
      <c r="K147" s="16"/>
      <c r="L147" s="16"/>
      <c r="M147" s="45"/>
      <c r="N147" s="161"/>
    </row>
    <row r="148" spans="1:14" ht="14.25">
      <c r="A148" s="143"/>
      <c r="B148" s="14"/>
      <c r="C148" s="15"/>
      <c r="D148" s="33" t="s">
        <v>8</v>
      </c>
      <c r="E148" s="33">
        <v>37</v>
      </c>
      <c r="F148" s="59">
        <v>29</v>
      </c>
      <c r="G148" s="5">
        <f>Q25</f>
        <v>66</v>
      </c>
      <c r="H148" s="16">
        <f t="shared" si="11"/>
        <v>2.44</v>
      </c>
      <c r="I148" s="16"/>
      <c r="J148" s="16"/>
      <c r="K148" s="16"/>
      <c r="L148" s="16"/>
      <c r="M148" s="45"/>
      <c r="N148" s="161"/>
    </row>
    <row r="149" spans="1:14" ht="14.25">
      <c r="A149" s="143"/>
      <c r="B149" s="14"/>
      <c r="C149" s="15"/>
      <c r="D149" s="33" t="s">
        <v>19</v>
      </c>
      <c r="E149" s="33">
        <v>9</v>
      </c>
      <c r="F149" s="59">
        <v>9</v>
      </c>
      <c r="G149" s="5">
        <f>Q66</f>
        <v>48</v>
      </c>
      <c r="H149" s="16">
        <f t="shared" si="11"/>
        <v>0.43</v>
      </c>
      <c r="I149" s="16"/>
      <c r="J149" s="16"/>
      <c r="K149" s="16"/>
      <c r="L149" s="16"/>
      <c r="M149" s="45"/>
      <c r="N149" s="161"/>
    </row>
    <row r="150" spans="1:14" ht="14.25">
      <c r="A150" s="143"/>
      <c r="B150" s="14"/>
      <c r="C150" s="15"/>
      <c r="D150" s="33" t="s">
        <v>6</v>
      </c>
      <c r="E150" s="33">
        <v>12</v>
      </c>
      <c r="F150" s="59">
        <v>11</v>
      </c>
      <c r="G150" s="5">
        <f>Q24</f>
        <v>46</v>
      </c>
      <c r="H150" s="16">
        <f t="shared" si="11"/>
        <v>0.55</v>
      </c>
      <c r="I150" s="16"/>
      <c r="J150" s="16"/>
      <c r="K150" s="16"/>
      <c r="L150" s="16"/>
      <c r="M150" s="45"/>
      <c r="N150" s="161"/>
    </row>
    <row r="151" spans="1:14" ht="14.25">
      <c r="A151" s="143"/>
      <c r="B151" s="14"/>
      <c r="C151" s="15"/>
      <c r="D151" s="33" t="s">
        <v>11</v>
      </c>
      <c r="E151" s="33">
        <v>0.25</v>
      </c>
      <c r="F151" s="59">
        <v>0.25</v>
      </c>
      <c r="G151" s="16">
        <f>Q5</f>
        <v>9.5</v>
      </c>
      <c r="H151" s="16">
        <f>E151*G151</f>
        <v>2.38</v>
      </c>
      <c r="I151" s="16"/>
      <c r="J151" s="16"/>
      <c r="K151" s="16"/>
      <c r="L151" s="16"/>
      <c r="M151" s="45"/>
      <c r="N151" s="161"/>
    </row>
    <row r="152" spans="1:14" ht="14.25">
      <c r="A152" s="143"/>
      <c r="B152" s="14"/>
      <c r="C152" s="15"/>
      <c r="D152" s="33" t="s">
        <v>10</v>
      </c>
      <c r="E152" s="33">
        <v>10</v>
      </c>
      <c r="F152" s="59">
        <v>10</v>
      </c>
      <c r="G152" s="5">
        <f>Q10</f>
        <v>70</v>
      </c>
      <c r="H152" s="16">
        <f t="shared" si="11"/>
        <v>0.7</v>
      </c>
      <c r="I152" s="16"/>
      <c r="J152" s="16"/>
      <c r="K152" s="16"/>
      <c r="L152" s="16"/>
      <c r="M152" s="45"/>
      <c r="N152" s="161"/>
    </row>
    <row r="153" spans="1:14" ht="14.25">
      <c r="A153" s="143"/>
      <c r="B153" s="14"/>
      <c r="C153" s="15"/>
      <c r="D153" s="33" t="s">
        <v>28</v>
      </c>
      <c r="E153" s="33">
        <v>3</v>
      </c>
      <c r="F153" s="59">
        <v>3</v>
      </c>
      <c r="G153" s="5">
        <f>Q11</f>
        <v>490</v>
      </c>
      <c r="H153" s="16">
        <f t="shared" si="11"/>
        <v>1.47</v>
      </c>
      <c r="I153" s="16">
        <v>17.99</v>
      </c>
      <c r="J153" s="16">
        <v>5.66</v>
      </c>
      <c r="K153" s="16">
        <v>14.26</v>
      </c>
      <c r="L153" s="16">
        <v>179.94</v>
      </c>
      <c r="M153" s="45">
        <v>88</v>
      </c>
      <c r="N153" s="161">
        <f>(I153+K153)*4+J153*9</f>
        <v>179.94</v>
      </c>
    </row>
    <row r="154" spans="1:14" ht="14.25">
      <c r="A154" s="143"/>
      <c r="B154" s="221" t="s">
        <v>141</v>
      </c>
      <c r="C154" s="143"/>
      <c r="D154" s="34" t="s">
        <v>9</v>
      </c>
      <c r="E154" s="34">
        <v>12</v>
      </c>
      <c r="F154" s="34">
        <v>12</v>
      </c>
      <c r="G154" s="5">
        <f>Q12</f>
        <v>182</v>
      </c>
      <c r="H154" s="16">
        <f t="shared" si="11"/>
        <v>2.18</v>
      </c>
      <c r="I154" s="78"/>
      <c r="J154" s="78"/>
      <c r="K154" s="78"/>
      <c r="L154" s="78"/>
      <c r="M154" s="45"/>
      <c r="N154" s="161"/>
    </row>
    <row r="155" spans="1:14" ht="14.25">
      <c r="A155" s="143"/>
      <c r="B155" s="14"/>
      <c r="C155" s="15"/>
      <c r="D155" s="5" t="s">
        <v>18</v>
      </c>
      <c r="E155" s="5">
        <v>5</v>
      </c>
      <c r="F155" s="5">
        <v>5</v>
      </c>
      <c r="G155" s="5">
        <f>Q30</f>
        <v>123</v>
      </c>
      <c r="H155" s="16">
        <f t="shared" si="11"/>
        <v>0.62</v>
      </c>
      <c r="I155" s="16"/>
      <c r="J155" s="16"/>
      <c r="K155" s="16"/>
      <c r="L155" s="16"/>
      <c r="M155" s="45"/>
      <c r="N155" s="161"/>
    </row>
    <row r="156" spans="1:14" ht="14.25">
      <c r="A156" s="143"/>
      <c r="B156" s="14"/>
      <c r="C156" s="15"/>
      <c r="D156" s="5" t="s">
        <v>74</v>
      </c>
      <c r="E156" s="5">
        <v>4</v>
      </c>
      <c r="F156" s="5">
        <v>4</v>
      </c>
      <c r="G156" s="5">
        <f>Q45</f>
        <v>38</v>
      </c>
      <c r="H156" s="16">
        <f t="shared" si="11"/>
        <v>0.15</v>
      </c>
      <c r="I156" s="204">
        <v>0.88</v>
      </c>
      <c r="J156" s="204">
        <v>2.5</v>
      </c>
      <c r="K156" s="204">
        <v>3.51</v>
      </c>
      <c r="L156" s="222">
        <v>40.06</v>
      </c>
      <c r="M156" s="223">
        <v>355</v>
      </c>
      <c r="N156" s="161">
        <f>(I156+K156)*4+J156*9</f>
        <v>40.06</v>
      </c>
    </row>
    <row r="157" spans="1:14" ht="14.25">
      <c r="A157" s="143">
        <v>2</v>
      </c>
      <c r="B157" s="221" t="s">
        <v>91</v>
      </c>
      <c r="C157" s="5">
        <v>150</v>
      </c>
      <c r="D157" s="8" t="s">
        <v>7</v>
      </c>
      <c r="E157" s="5">
        <v>193</v>
      </c>
      <c r="F157" s="5">
        <v>130</v>
      </c>
      <c r="G157" s="5">
        <f>Q22</f>
        <v>57</v>
      </c>
      <c r="H157" s="16">
        <f t="shared" si="11"/>
        <v>11</v>
      </c>
      <c r="I157" s="16"/>
      <c r="J157" s="16"/>
      <c r="K157" s="16"/>
      <c r="L157" s="16"/>
      <c r="M157" s="177"/>
      <c r="N157" s="161"/>
    </row>
    <row r="158" spans="1:14" ht="14.25">
      <c r="A158" s="143"/>
      <c r="B158" s="14"/>
      <c r="C158" s="5"/>
      <c r="D158" s="8" t="s">
        <v>10</v>
      </c>
      <c r="E158" s="5">
        <v>30</v>
      </c>
      <c r="F158" s="5">
        <v>30</v>
      </c>
      <c r="G158" s="5">
        <f>Q10</f>
        <v>70</v>
      </c>
      <c r="H158" s="16">
        <f t="shared" si="11"/>
        <v>2.1</v>
      </c>
      <c r="I158" s="16"/>
      <c r="J158" s="16"/>
      <c r="K158" s="16"/>
      <c r="L158" s="16"/>
      <c r="M158" s="177"/>
      <c r="N158" s="161"/>
    </row>
    <row r="159" spans="1:14" ht="14.25">
      <c r="A159" s="143"/>
      <c r="B159" s="14"/>
      <c r="C159" s="5"/>
      <c r="D159" s="8" t="s">
        <v>28</v>
      </c>
      <c r="E159" s="5">
        <v>5</v>
      </c>
      <c r="F159" s="5">
        <v>5</v>
      </c>
      <c r="G159" s="5">
        <f>Q11</f>
        <v>490</v>
      </c>
      <c r="H159" s="16">
        <f t="shared" si="11"/>
        <v>2.45</v>
      </c>
      <c r="I159" s="228">
        <v>3.4</v>
      </c>
      <c r="J159" s="228">
        <v>5.34</v>
      </c>
      <c r="K159" s="228">
        <v>20.52</v>
      </c>
      <c r="L159" s="228">
        <v>143.74</v>
      </c>
      <c r="M159" s="184">
        <v>321</v>
      </c>
      <c r="N159" s="161">
        <f>(I159+K159)*4+J159*9</f>
        <v>143.74</v>
      </c>
    </row>
    <row r="160" spans="1:14" ht="14.25">
      <c r="A160" s="34">
        <v>3</v>
      </c>
      <c r="B160" s="141" t="s">
        <v>35</v>
      </c>
      <c r="C160" s="34">
        <v>50</v>
      </c>
      <c r="D160" s="34" t="s">
        <v>19</v>
      </c>
      <c r="E160" s="5">
        <v>50</v>
      </c>
      <c r="F160" s="5">
        <v>50</v>
      </c>
      <c r="G160" s="5">
        <f>Q66</f>
        <v>48</v>
      </c>
      <c r="H160" s="16">
        <f t="shared" si="11"/>
        <v>2.4</v>
      </c>
      <c r="I160" s="202">
        <v>3.06</v>
      </c>
      <c r="J160" s="202">
        <v>9.54</v>
      </c>
      <c r="K160" s="202">
        <v>18.28</v>
      </c>
      <c r="L160" s="202">
        <f>(I160+K160)*4+J160*9</f>
        <v>171.22</v>
      </c>
      <c r="M160" s="203">
        <v>1</v>
      </c>
      <c r="N160" s="161">
        <f>(I160+K160)*4+J160*9</f>
        <v>171.22</v>
      </c>
    </row>
    <row r="161" spans="1:14" ht="14.25">
      <c r="A161" s="34">
        <v>4</v>
      </c>
      <c r="B161" s="141" t="s">
        <v>81</v>
      </c>
      <c r="C161" s="34">
        <v>10</v>
      </c>
      <c r="D161" s="34" t="s">
        <v>23</v>
      </c>
      <c r="E161" s="5">
        <v>10.5</v>
      </c>
      <c r="F161" s="5">
        <v>10</v>
      </c>
      <c r="G161" s="5">
        <f>Q14</f>
        <v>528</v>
      </c>
      <c r="H161" s="16">
        <f t="shared" si="11"/>
        <v>5.54</v>
      </c>
      <c r="I161" s="202">
        <v>2.32</v>
      </c>
      <c r="J161" s="202">
        <v>2.95</v>
      </c>
      <c r="K161" s="202">
        <v>0</v>
      </c>
      <c r="L161" s="202">
        <f>(I161+K161)*4+J161*9</f>
        <v>35.83</v>
      </c>
      <c r="M161" s="203">
        <v>15</v>
      </c>
      <c r="N161" s="161">
        <f>(I161+K161)*4+J161*9</f>
        <v>35.83</v>
      </c>
    </row>
    <row r="162" spans="1:14" ht="14.25">
      <c r="A162" s="34">
        <v>5</v>
      </c>
      <c r="B162" s="141" t="s">
        <v>13</v>
      </c>
      <c r="C162" s="34">
        <v>200</v>
      </c>
      <c r="D162" s="34" t="s">
        <v>14</v>
      </c>
      <c r="E162" s="5">
        <v>1</v>
      </c>
      <c r="F162" s="5">
        <v>1</v>
      </c>
      <c r="G162" s="5">
        <f>Q64</f>
        <v>507</v>
      </c>
      <c r="H162" s="16">
        <f t="shared" si="11"/>
        <v>0.51</v>
      </c>
      <c r="I162" s="38"/>
      <c r="J162" s="38"/>
      <c r="K162" s="38"/>
      <c r="L162" s="38"/>
      <c r="M162" s="45"/>
      <c r="N162" s="161"/>
    </row>
    <row r="163" spans="1:14" ht="14.25">
      <c r="A163" s="34"/>
      <c r="B163" s="141"/>
      <c r="C163" s="34"/>
      <c r="D163" s="34" t="s">
        <v>2</v>
      </c>
      <c r="E163" s="5">
        <v>15</v>
      </c>
      <c r="F163" s="5">
        <v>15</v>
      </c>
      <c r="G163" s="5">
        <f>Q56</f>
        <v>85</v>
      </c>
      <c r="H163" s="16">
        <f t="shared" si="11"/>
        <v>1.28</v>
      </c>
      <c r="I163" s="78">
        <v>0.2</v>
      </c>
      <c r="J163" s="78">
        <v>0</v>
      </c>
      <c r="K163" s="78">
        <v>14</v>
      </c>
      <c r="L163" s="78">
        <v>56.8</v>
      </c>
      <c r="M163" s="45">
        <v>1009</v>
      </c>
      <c r="N163" s="161">
        <f>(I163+K163)*4+J163*9</f>
        <v>56.8</v>
      </c>
    </row>
    <row r="164" spans="1:14" ht="14.25">
      <c r="A164" s="34">
        <v>6</v>
      </c>
      <c r="B164" s="200" t="s">
        <v>189</v>
      </c>
      <c r="C164" s="34">
        <v>25</v>
      </c>
      <c r="D164" s="34" t="s">
        <v>229</v>
      </c>
      <c r="E164" s="5">
        <v>25</v>
      </c>
      <c r="F164" s="5">
        <v>25</v>
      </c>
      <c r="G164" s="5">
        <f>Q74</f>
        <v>153</v>
      </c>
      <c r="H164" s="16">
        <f t="shared" si="11"/>
        <v>3.83</v>
      </c>
      <c r="I164" s="16">
        <v>1.88</v>
      </c>
      <c r="J164" s="16">
        <v>2.95</v>
      </c>
      <c r="K164" s="16">
        <v>18.73</v>
      </c>
      <c r="L164" s="16">
        <v>108.99</v>
      </c>
      <c r="M164" s="203"/>
      <c r="N164" s="161">
        <f>(I164+K164)*4+J164*9</f>
        <v>108.99</v>
      </c>
    </row>
    <row r="165" spans="1:14" ht="14.25">
      <c r="A165" s="34"/>
      <c r="B165" s="141"/>
      <c r="C165" s="34"/>
      <c r="D165" s="34" t="s">
        <v>170</v>
      </c>
      <c r="E165" s="5">
        <v>3.5</v>
      </c>
      <c r="F165" s="5">
        <v>3.5</v>
      </c>
      <c r="G165" s="5">
        <f>Q60</f>
        <v>24</v>
      </c>
      <c r="H165" s="16">
        <f t="shared" si="11"/>
        <v>0.08</v>
      </c>
      <c r="I165" s="16"/>
      <c r="J165" s="16"/>
      <c r="K165" s="16"/>
      <c r="L165" s="16"/>
      <c r="M165" s="45"/>
      <c r="N165" s="161"/>
    </row>
    <row r="166" spans="1:14" ht="15">
      <c r="A166" s="5"/>
      <c r="B166" s="14"/>
      <c r="C166" s="210">
        <f>SUM(C147:C165)</f>
        <v>535</v>
      </c>
      <c r="D166" s="5"/>
      <c r="E166" s="5"/>
      <c r="F166" s="5"/>
      <c r="G166" s="5"/>
      <c r="H166" s="69">
        <f>SUM(H147:H165)</f>
        <v>68.47</v>
      </c>
      <c r="I166" s="69">
        <f>SUM(I147:I165)</f>
        <v>29.73</v>
      </c>
      <c r="J166" s="69">
        <f>SUM(J147:J165)</f>
        <v>28.94</v>
      </c>
      <c r="K166" s="69">
        <f>SUM(K147:K165)</f>
        <v>89.3</v>
      </c>
      <c r="L166" s="69">
        <f>SUM(L147:L165)</f>
        <v>736.58</v>
      </c>
      <c r="M166" s="152"/>
      <c r="N166" s="161">
        <f>(I166+K166)*4+J166*9</f>
        <v>736.58</v>
      </c>
    </row>
    <row r="167" spans="1:14" s="71" customFormat="1" ht="15">
      <c r="A167" s="34"/>
      <c r="B167" s="240" t="s">
        <v>145</v>
      </c>
      <c r="C167" s="227"/>
      <c r="D167" s="241"/>
      <c r="E167" s="34"/>
      <c r="F167" s="34"/>
      <c r="G167" s="34"/>
      <c r="H167" s="78"/>
      <c r="I167" s="78"/>
      <c r="J167" s="78"/>
      <c r="K167" s="78"/>
      <c r="L167" s="78"/>
      <c r="M167" s="45"/>
      <c r="N167" s="197"/>
    </row>
    <row r="168" spans="1:14" ht="14.25">
      <c r="A168" s="15">
        <v>1</v>
      </c>
      <c r="B168" s="32" t="s">
        <v>95</v>
      </c>
      <c r="C168" s="102" t="s">
        <v>191</v>
      </c>
      <c r="D168" s="28" t="s">
        <v>15</v>
      </c>
      <c r="E168" s="5">
        <v>39</v>
      </c>
      <c r="F168" s="5">
        <v>32</v>
      </c>
      <c r="G168" s="5">
        <f>Q26</f>
        <v>45</v>
      </c>
      <c r="H168" s="16">
        <f aca="true" t="shared" si="12" ref="H168:H185">E168*G168/1000</f>
        <v>1.76</v>
      </c>
      <c r="I168" s="16"/>
      <c r="J168" s="16"/>
      <c r="K168" s="16"/>
      <c r="L168" s="16"/>
      <c r="M168" s="45"/>
      <c r="N168" s="161"/>
    </row>
    <row r="169" spans="1:14" ht="14.25">
      <c r="A169" s="15"/>
      <c r="B169" s="32" t="s">
        <v>96</v>
      </c>
      <c r="C169" s="28"/>
      <c r="D169" s="28" t="s">
        <v>17</v>
      </c>
      <c r="E169" s="5">
        <v>20</v>
      </c>
      <c r="F169" s="5">
        <v>16</v>
      </c>
      <c r="G169" s="5">
        <f>Q23</f>
        <v>47</v>
      </c>
      <c r="H169" s="16">
        <f t="shared" si="12"/>
        <v>0.94</v>
      </c>
      <c r="I169" s="16"/>
      <c r="J169" s="16"/>
      <c r="K169" s="16"/>
      <c r="L169" s="16"/>
      <c r="M169" s="45"/>
      <c r="N169" s="161"/>
    </row>
    <row r="170" spans="1:14" ht="14.25">
      <c r="A170" s="15"/>
      <c r="B170" s="25"/>
      <c r="C170" s="28"/>
      <c r="D170" s="28" t="s">
        <v>7</v>
      </c>
      <c r="E170" s="5">
        <v>30</v>
      </c>
      <c r="F170" s="5">
        <v>19</v>
      </c>
      <c r="G170" s="5">
        <f>Q22</f>
        <v>57</v>
      </c>
      <c r="H170" s="16">
        <f t="shared" si="12"/>
        <v>1.71</v>
      </c>
      <c r="I170" s="16"/>
      <c r="J170" s="16"/>
      <c r="K170" s="16"/>
      <c r="L170" s="16"/>
      <c r="M170" s="45"/>
      <c r="N170" s="161"/>
    </row>
    <row r="171" spans="1:14" ht="14.25">
      <c r="A171" s="15"/>
      <c r="B171" s="25"/>
      <c r="C171" s="28"/>
      <c r="D171" s="28" t="s">
        <v>8</v>
      </c>
      <c r="E171" s="5">
        <v>10</v>
      </c>
      <c r="F171" s="5">
        <v>8</v>
      </c>
      <c r="G171" s="5">
        <f>Q25</f>
        <v>66</v>
      </c>
      <c r="H171" s="16">
        <f t="shared" si="12"/>
        <v>0.66</v>
      </c>
      <c r="I171" s="16"/>
      <c r="J171" s="16"/>
      <c r="K171" s="16"/>
      <c r="L171" s="16"/>
      <c r="M171" s="45"/>
      <c r="N171" s="161"/>
    </row>
    <row r="172" spans="1:14" ht="14.25">
      <c r="A172" s="15"/>
      <c r="B172" s="25"/>
      <c r="C172" s="28"/>
      <c r="D172" s="28" t="s">
        <v>6</v>
      </c>
      <c r="E172" s="5">
        <v>10</v>
      </c>
      <c r="F172" s="5">
        <v>9</v>
      </c>
      <c r="G172" s="5">
        <f>Q24</f>
        <v>46</v>
      </c>
      <c r="H172" s="16">
        <f t="shared" si="12"/>
        <v>0.46</v>
      </c>
      <c r="I172" s="16"/>
      <c r="J172" s="16"/>
      <c r="K172" s="16"/>
      <c r="L172" s="16"/>
      <c r="M172" s="45"/>
      <c r="N172" s="161"/>
    </row>
    <row r="173" spans="1:14" ht="14.25">
      <c r="A173" s="15"/>
      <c r="B173" s="25"/>
      <c r="C173" s="28"/>
      <c r="D173" s="28" t="s">
        <v>27</v>
      </c>
      <c r="E173" s="5">
        <v>2</v>
      </c>
      <c r="F173" s="5">
        <v>2</v>
      </c>
      <c r="G173" s="5">
        <f>Q30</f>
        <v>123</v>
      </c>
      <c r="H173" s="16">
        <f t="shared" si="12"/>
        <v>0.25</v>
      </c>
      <c r="I173" s="16"/>
      <c r="J173" s="16"/>
      <c r="K173" s="16"/>
      <c r="L173" s="16"/>
      <c r="M173" s="45"/>
      <c r="N173" s="161"/>
    </row>
    <row r="174" spans="1:14" ht="13.5" customHeight="1">
      <c r="A174" s="15"/>
      <c r="B174" s="25"/>
      <c r="C174" s="28"/>
      <c r="D174" s="28" t="s">
        <v>26</v>
      </c>
      <c r="E174" s="5">
        <v>4</v>
      </c>
      <c r="F174" s="5">
        <v>4</v>
      </c>
      <c r="G174" s="5">
        <f>Q39</f>
        <v>138</v>
      </c>
      <c r="H174" s="16">
        <f t="shared" si="12"/>
        <v>0.55</v>
      </c>
      <c r="I174" s="176">
        <v>2.26</v>
      </c>
      <c r="J174" s="176">
        <v>4.18</v>
      </c>
      <c r="K174" s="176">
        <v>10.2</v>
      </c>
      <c r="L174" s="176">
        <v>87.46</v>
      </c>
      <c r="M174" s="177">
        <v>176</v>
      </c>
      <c r="N174" s="161">
        <f>(I174+K174)*4+J174*9</f>
        <v>87.46</v>
      </c>
    </row>
    <row r="175" spans="1:14" ht="14.25">
      <c r="A175" s="15"/>
      <c r="B175" s="25"/>
      <c r="C175" s="28"/>
      <c r="D175" s="28" t="s">
        <v>9</v>
      </c>
      <c r="E175" s="5">
        <v>10</v>
      </c>
      <c r="F175" s="5">
        <v>10</v>
      </c>
      <c r="G175" s="5">
        <f>Q12</f>
        <v>182</v>
      </c>
      <c r="H175" s="16">
        <f t="shared" si="12"/>
        <v>1.82</v>
      </c>
      <c r="I175" s="176">
        <v>0.21</v>
      </c>
      <c r="J175" s="176">
        <v>2.82</v>
      </c>
      <c r="K175" s="176">
        <v>0.31</v>
      </c>
      <c r="L175" s="176">
        <v>27.46</v>
      </c>
      <c r="M175" s="177"/>
      <c r="N175" s="161">
        <f>(I175+K175)*4+J175*9</f>
        <v>27.46</v>
      </c>
    </row>
    <row r="176" spans="1:17" ht="14.25">
      <c r="A176" s="143">
        <v>2</v>
      </c>
      <c r="B176" s="221" t="s">
        <v>218</v>
      </c>
      <c r="C176" s="5">
        <v>90</v>
      </c>
      <c r="D176" s="33" t="s">
        <v>78</v>
      </c>
      <c r="E176" s="33">
        <v>123</v>
      </c>
      <c r="F176" s="33">
        <v>98</v>
      </c>
      <c r="G176" s="5">
        <f>Q40</f>
        <v>207</v>
      </c>
      <c r="H176" s="16">
        <f t="shared" si="12"/>
        <v>25.46</v>
      </c>
      <c r="I176" s="16"/>
      <c r="J176" s="16"/>
      <c r="K176" s="16"/>
      <c r="L176" s="16"/>
      <c r="M176" s="45"/>
      <c r="N176" s="161"/>
      <c r="O176" s="20"/>
      <c r="P176" s="21"/>
      <c r="Q176" s="21"/>
    </row>
    <row r="177" spans="1:17" ht="14.25">
      <c r="A177" s="143"/>
      <c r="B177" s="14"/>
      <c r="C177" s="15"/>
      <c r="D177" s="33" t="s">
        <v>8</v>
      </c>
      <c r="E177" s="33">
        <v>30</v>
      </c>
      <c r="F177" s="59">
        <v>25</v>
      </c>
      <c r="G177" s="5">
        <f>Q25</f>
        <v>66</v>
      </c>
      <c r="H177" s="16">
        <f t="shared" si="12"/>
        <v>1.98</v>
      </c>
      <c r="I177" s="16"/>
      <c r="J177" s="16"/>
      <c r="K177" s="16"/>
      <c r="L177" s="16"/>
      <c r="M177" s="45"/>
      <c r="N177" s="161"/>
      <c r="O177" s="20"/>
      <c r="P177" s="21"/>
      <c r="Q177" s="21"/>
    </row>
    <row r="178" spans="1:17" ht="14.25">
      <c r="A178" s="143"/>
      <c r="B178" s="14"/>
      <c r="C178" s="15"/>
      <c r="D178" s="33" t="s">
        <v>19</v>
      </c>
      <c r="E178" s="33">
        <v>8</v>
      </c>
      <c r="F178" s="59">
        <v>8</v>
      </c>
      <c r="G178" s="34">
        <f>Q66</f>
        <v>48</v>
      </c>
      <c r="H178" s="16">
        <f t="shared" si="12"/>
        <v>0.38</v>
      </c>
      <c r="I178" s="16"/>
      <c r="J178" s="16"/>
      <c r="K178" s="16"/>
      <c r="L178" s="16"/>
      <c r="M178" s="45"/>
      <c r="N178" s="161"/>
      <c r="O178" s="20"/>
      <c r="P178" s="21"/>
      <c r="Q178" s="21"/>
    </row>
    <row r="179" spans="1:17" ht="14.25">
      <c r="A179" s="143"/>
      <c r="B179" s="14"/>
      <c r="C179" s="15"/>
      <c r="D179" s="33" t="s">
        <v>6</v>
      </c>
      <c r="E179" s="33">
        <v>10</v>
      </c>
      <c r="F179" s="59">
        <v>9</v>
      </c>
      <c r="G179" s="45">
        <f>Q24</f>
        <v>46</v>
      </c>
      <c r="H179" s="16">
        <f t="shared" si="12"/>
        <v>0.46</v>
      </c>
      <c r="I179" s="16"/>
      <c r="J179" s="16"/>
      <c r="K179" s="16"/>
      <c r="L179" s="16"/>
      <c r="M179" s="45"/>
      <c r="N179" s="161"/>
      <c r="O179" s="20"/>
      <c r="P179" s="21"/>
      <c r="Q179" s="21"/>
    </row>
    <row r="180" spans="1:17" ht="14.25">
      <c r="A180" s="143"/>
      <c r="B180" s="14"/>
      <c r="C180" s="15"/>
      <c r="D180" s="33" t="s">
        <v>11</v>
      </c>
      <c r="E180" s="33">
        <v>0.22</v>
      </c>
      <c r="F180" s="59">
        <v>0.22</v>
      </c>
      <c r="G180" s="78">
        <f>Q5</f>
        <v>9.5</v>
      </c>
      <c r="H180" s="16">
        <f>E180*G180</f>
        <v>2.09</v>
      </c>
      <c r="I180" s="16"/>
      <c r="J180" s="16"/>
      <c r="K180" s="16"/>
      <c r="L180" s="16"/>
      <c r="M180" s="45"/>
      <c r="N180" s="161"/>
      <c r="O180" s="20"/>
      <c r="P180" s="21"/>
      <c r="Q180" s="21"/>
    </row>
    <row r="181" spans="1:17" ht="14.25">
      <c r="A181" s="143"/>
      <c r="B181" s="14"/>
      <c r="C181" s="15"/>
      <c r="D181" s="33" t="s">
        <v>10</v>
      </c>
      <c r="E181" s="33">
        <v>9</v>
      </c>
      <c r="F181" s="59">
        <v>9</v>
      </c>
      <c r="G181" s="34">
        <f>Q10</f>
        <v>70</v>
      </c>
      <c r="H181" s="16">
        <f t="shared" si="12"/>
        <v>0.63</v>
      </c>
      <c r="I181" s="16"/>
      <c r="J181" s="16"/>
      <c r="K181" s="16"/>
      <c r="L181" s="16"/>
      <c r="M181" s="45"/>
      <c r="N181" s="161"/>
      <c r="O181" s="20"/>
      <c r="P181" s="21"/>
      <c r="Q181" s="21"/>
    </row>
    <row r="182" spans="1:14" ht="14.25">
      <c r="A182" s="5"/>
      <c r="B182" s="14"/>
      <c r="C182" s="15"/>
      <c r="D182" s="33" t="s">
        <v>28</v>
      </c>
      <c r="E182" s="33">
        <v>3</v>
      </c>
      <c r="F182" s="59">
        <v>3</v>
      </c>
      <c r="G182" s="5">
        <f>Q11</f>
        <v>490</v>
      </c>
      <c r="H182" s="16">
        <f t="shared" si="12"/>
        <v>1.47</v>
      </c>
      <c r="I182" s="16">
        <v>16.19</v>
      </c>
      <c r="J182" s="16">
        <v>5.09</v>
      </c>
      <c r="K182" s="16">
        <v>12.83</v>
      </c>
      <c r="L182" s="16">
        <v>161.89</v>
      </c>
      <c r="M182" s="45">
        <v>88</v>
      </c>
      <c r="N182" s="161">
        <f>(I182+K182)*4+J182*9</f>
        <v>161.89</v>
      </c>
    </row>
    <row r="183" spans="1:14" ht="14.25">
      <c r="A183" s="5"/>
      <c r="B183" s="221" t="s">
        <v>141</v>
      </c>
      <c r="C183" s="143"/>
      <c r="D183" s="34" t="s">
        <v>9</v>
      </c>
      <c r="E183" s="34">
        <v>10</v>
      </c>
      <c r="F183" s="34">
        <v>10</v>
      </c>
      <c r="G183" s="5">
        <f>Q12</f>
        <v>182</v>
      </c>
      <c r="H183" s="16">
        <f t="shared" si="12"/>
        <v>1.82</v>
      </c>
      <c r="I183" s="78"/>
      <c r="J183" s="78"/>
      <c r="K183" s="78"/>
      <c r="L183" s="78"/>
      <c r="M183" s="45"/>
      <c r="N183" s="161"/>
    </row>
    <row r="184" spans="1:14" ht="14.25">
      <c r="A184" s="5"/>
      <c r="B184" s="14"/>
      <c r="C184" s="15"/>
      <c r="D184" s="5" t="s">
        <v>18</v>
      </c>
      <c r="E184" s="5">
        <v>5</v>
      </c>
      <c r="F184" s="5">
        <v>5</v>
      </c>
      <c r="G184" s="5">
        <f>Q30</f>
        <v>123</v>
      </c>
      <c r="H184" s="16">
        <f t="shared" si="12"/>
        <v>0.62</v>
      </c>
      <c r="I184" s="16"/>
      <c r="J184" s="16"/>
      <c r="K184" s="16"/>
      <c r="L184" s="16"/>
      <c r="M184" s="45"/>
      <c r="N184" s="161"/>
    </row>
    <row r="185" spans="1:14" ht="14.25">
      <c r="A185" s="5"/>
      <c r="B185" s="14"/>
      <c r="C185" s="15"/>
      <c r="D185" s="5" t="s">
        <v>74</v>
      </c>
      <c r="E185" s="5">
        <v>4</v>
      </c>
      <c r="F185" s="5">
        <v>4</v>
      </c>
      <c r="G185" s="5">
        <f>Q45</f>
        <v>38</v>
      </c>
      <c r="H185" s="16">
        <f t="shared" si="12"/>
        <v>0.15</v>
      </c>
      <c r="I185" s="204">
        <v>0.88</v>
      </c>
      <c r="J185" s="204">
        <v>2.5</v>
      </c>
      <c r="K185" s="204">
        <v>3.51</v>
      </c>
      <c r="L185" s="222">
        <v>40.06</v>
      </c>
      <c r="M185" s="223">
        <v>355</v>
      </c>
      <c r="N185" s="161">
        <f>(I185+K185)*4+J185*9</f>
        <v>40.06</v>
      </c>
    </row>
    <row r="186" spans="1:14" ht="14.25">
      <c r="A186" s="5">
        <v>3</v>
      </c>
      <c r="B186" s="221" t="s">
        <v>91</v>
      </c>
      <c r="C186" s="5">
        <v>150</v>
      </c>
      <c r="D186" s="8" t="s">
        <v>7</v>
      </c>
      <c r="E186" s="5">
        <v>193</v>
      </c>
      <c r="F186" s="5">
        <v>130</v>
      </c>
      <c r="G186" s="5">
        <f>Q22</f>
        <v>57</v>
      </c>
      <c r="H186" s="16">
        <f aca="true" t="shared" si="13" ref="H186:H194">E186*G186/1000</f>
        <v>11</v>
      </c>
      <c r="I186" s="16"/>
      <c r="J186" s="16"/>
      <c r="K186" s="16"/>
      <c r="L186" s="16"/>
      <c r="M186" s="177"/>
      <c r="N186" s="161"/>
    </row>
    <row r="187" spans="1:14" ht="14.25">
      <c r="A187" s="5"/>
      <c r="B187" s="14"/>
      <c r="C187" s="5"/>
      <c r="D187" s="8" t="s">
        <v>10</v>
      </c>
      <c r="E187" s="5">
        <v>30</v>
      </c>
      <c r="F187" s="5">
        <v>30</v>
      </c>
      <c r="G187" s="5">
        <f>Q10</f>
        <v>70</v>
      </c>
      <c r="H187" s="16">
        <f t="shared" si="13"/>
        <v>2.1</v>
      </c>
      <c r="I187" s="16"/>
      <c r="J187" s="16"/>
      <c r="K187" s="16"/>
      <c r="L187" s="16"/>
      <c r="M187" s="177"/>
      <c r="N187" s="161"/>
    </row>
    <row r="188" spans="1:14" ht="14.25">
      <c r="A188" s="5"/>
      <c r="B188" s="14"/>
      <c r="C188" s="5"/>
      <c r="D188" s="8" t="s">
        <v>28</v>
      </c>
      <c r="E188" s="5">
        <v>5</v>
      </c>
      <c r="F188" s="5">
        <v>5</v>
      </c>
      <c r="G188" s="5">
        <f>Q11</f>
        <v>490</v>
      </c>
      <c r="H188" s="16">
        <f t="shared" si="13"/>
        <v>2.45</v>
      </c>
      <c r="I188" s="228">
        <v>3.4</v>
      </c>
      <c r="J188" s="228">
        <v>5.34</v>
      </c>
      <c r="K188" s="228">
        <v>20.52</v>
      </c>
      <c r="L188" s="228">
        <v>143.74</v>
      </c>
      <c r="M188" s="184">
        <v>321</v>
      </c>
      <c r="N188" s="161">
        <f>(I188+K188)*4+J188*9</f>
        <v>143.74</v>
      </c>
    </row>
    <row r="189" spans="1:14" ht="14.25">
      <c r="A189" s="5">
        <v>4</v>
      </c>
      <c r="B189" s="14" t="s">
        <v>35</v>
      </c>
      <c r="C189" s="15">
        <v>50</v>
      </c>
      <c r="D189" s="5" t="s">
        <v>19</v>
      </c>
      <c r="E189" s="34">
        <v>50</v>
      </c>
      <c r="F189" s="34">
        <v>50</v>
      </c>
      <c r="G189" s="5">
        <f>Q66</f>
        <v>48</v>
      </c>
      <c r="H189" s="16">
        <f t="shared" si="13"/>
        <v>2.4</v>
      </c>
      <c r="I189" s="202">
        <v>3.06</v>
      </c>
      <c r="J189" s="202">
        <v>9.54</v>
      </c>
      <c r="K189" s="202">
        <v>18.28</v>
      </c>
      <c r="L189" s="202">
        <f>(I189+K189)*4+J189*9</f>
        <v>171.22</v>
      </c>
      <c r="M189" s="203">
        <v>1</v>
      </c>
      <c r="N189" s="161">
        <f>(I189+K189)*4+J189*9</f>
        <v>171.22</v>
      </c>
    </row>
    <row r="190" spans="1:14" ht="14.25">
      <c r="A190" s="5">
        <v>5</v>
      </c>
      <c r="B190" s="31" t="s">
        <v>25</v>
      </c>
      <c r="C190" s="5">
        <v>200</v>
      </c>
      <c r="D190" s="5" t="s">
        <v>20</v>
      </c>
      <c r="E190" s="5">
        <v>15</v>
      </c>
      <c r="F190" s="5">
        <v>15</v>
      </c>
      <c r="G190" s="34">
        <f>Q35</f>
        <v>148</v>
      </c>
      <c r="H190" s="16">
        <f t="shared" si="13"/>
        <v>2.22</v>
      </c>
      <c r="I190" s="16"/>
      <c r="J190" s="16"/>
      <c r="K190" s="16"/>
      <c r="L190" s="16"/>
      <c r="M190" s="45"/>
      <c r="N190" s="161"/>
    </row>
    <row r="191" spans="1:14" ht="14.25">
      <c r="A191" s="5"/>
      <c r="B191" s="5"/>
      <c r="C191" s="5"/>
      <c r="D191" s="5" t="s">
        <v>2</v>
      </c>
      <c r="E191" s="5">
        <v>14</v>
      </c>
      <c r="F191" s="5">
        <v>14</v>
      </c>
      <c r="G191" s="34">
        <f>Q56</f>
        <v>85</v>
      </c>
      <c r="H191" s="16">
        <f t="shared" si="13"/>
        <v>1.19</v>
      </c>
      <c r="I191" s="205">
        <v>0.04</v>
      </c>
      <c r="J191" s="205">
        <v>0</v>
      </c>
      <c r="K191" s="205">
        <v>24.76</v>
      </c>
      <c r="L191" s="202">
        <f>(I191+K191)*4+J191*9</f>
        <v>99.2</v>
      </c>
      <c r="M191" s="203">
        <v>349</v>
      </c>
      <c r="N191" s="161">
        <f>(I191+K191)*4+J191*9</f>
        <v>99.2</v>
      </c>
    </row>
    <row r="192" spans="1:14" ht="14.25">
      <c r="A192" s="5">
        <v>6</v>
      </c>
      <c r="B192" s="200" t="s">
        <v>189</v>
      </c>
      <c r="C192" s="34">
        <v>25</v>
      </c>
      <c r="D192" s="34" t="s">
        <v>229</v>
      </c>
      <c r="E192" s="5">
        <v>25</v>
      </c>
      <c r="F192" s="5">
        <v>25</v>
      </c>
      <c r="G192" s="34">
        <f>Q74</f>
        <v>153</v>
      </c>
      <c r="H192" s="16">
        <f t="shared" si="13"/>
        <v>3.83</v>
      </c>
      <c r="I192" s="16">
        <v>1.88</v>
      </c>
      <c r="J192" s="16">
        <v>2.95</v>
      </c>
      <c r="K192" s="16">
        <v>18.73</v>
      </c>
      <c r="L192" s="16">
        <v>108.99</v>
      </c>
      <c r="M192" s="203"/>
      <c r="N192" s="161">
        <f>(I192+K192)*4+J192*9</f>
        <v>108.99</v>
      </c>
    </row>
    <row r="193" spans="1:14" ht="14.25">
      <c r="A193" s="5"/>
      <c r="B193" s="14"/>
      <c r="C193" s="15"/>
      <c r="D193" s="5" t="s">
        <v>170</v>
      </c>
      <c r="E193" s="5">
        <v>2.5</v>
      </c>
      <c r="F193" s="5">
        <v>2.5</v>
      </c>
      <c r="G193" s="5">
        <f>Q60</f>
        <v>24</v>
      </c>
      <c r="H193" s="16">
        <f t="shared" si="13"/>
        <v>0.06</v>
      </c>
      <c r="I193" s="16"/>
      <c r="J193" s="16"/>
      <c r="K193" s="16"/>
      <c r="L193" s="16"/>
      <c r="M193" s="45"/>
      <c r="N193" s="161"/>
    </row>
    <row r="194" spans="1:14" ht="14.25">
      <c r="A194" s="5"/>
      <c r="B194" s="14"/>
      <c r="C194" s="5"/>
      <c r="D194" s="5" t="s">
        <v>94</v>
      </c>
      <c r="E194" s="5">
        <v>0.02</v>
      </c>
      <c r="F194" s="5">
        <v>0.02</v>
      </c>
      <c r="G194" s="5">
        <f>Q65</f>
        <v>483</v>
      </c>
      <c r="H194" s="16">
        <f t="shared" si="13"/>
        <v>0.01</v>
      </c>
      <c r="I194" s="16"/>
      <c r="J194" s="16"/>
      <c r="K194" s="16"/>
      <c r="L194" s="16"/>
      <c r="M194" s="45"/>
      <c r="N194" s="161"/>
    </row>
    <row r="195" spans="1:14" ht="15">
      <c r="A195" s="5"/>
      <c r="B195" s="5"/>
      <c r="C195" s="209">
        <v>715</v>
      </c>
      <c r="D195" s="5"/>
      <c r="E195" s="5"/>
      <c r="F195" s="5"/>
      <c r="G195" s="34"/>
      <c r="H195" s="69">
        <f>SUM(H168:H194)</f>
        <v>68.47</v>
      </c>
      <c r="I195" s="69">
        <f>SUM(I168:I194)</f>
        <v>27.92</v>
      </c>
      <c r="J195" s="69">
        <f>SUM(J168:J194)</f>
        <v>32.42</v>
      </c>
      <c r="K195" s="69">
        <f>SUM(K168:K194)</f>
        <v>109.14</v>
      </c>
      <c r="L195" s="69">
        <f>SUM(L168:L194)</f>
        <v>840.02</v>
      </c>
      <c r="M195" s="156"/>
      <c r="N195" s="161">
        <f>(I195+K195)*4+J195*9</f>
        <v>840.02</v>
      </c>
    </row>
    <row r="196" spans="2:14" ht="15">
      <c r="B196" s="65"/>
      <c r="C196" s="27"/>
      <c r="D196" s="27"/>
      <c r="I196" s="22"/>
      <c r="J196" s="22"/>
      <c r="K196" s="22"/>
      <c r="L196" s="22"/>
      <c r="M196" s="163"/>
      <c r="N196" s="161"/>
    </row>
    <row r="197" spans="2:14" ht="15">
      <c r="B197" s="65"/>
      <c r="C197" s="27"/>
      <c r="D197" s="27"/>
      <c r="I197" s="22"/>
      <c r="J197" s="22"/>
      <c r="K197" s="22"/>
      <c r="L197" s="22"/>
      <c r="M197" s="163"/>
      <c r="N197" s="161"/>
    </row>
    <row r="198" spans="2:14" ht="15">
      <c r="B198" s="65" t="s">
        <v>68</v>
      </c>
      <c r="N198" s="161"/>
    </row>
    <row r="199" spans="1:14" ht="30" customHeight="1">
      <c r="A199" s="247" t="s">
        <v>3</v>
      </c>
      <c r="B199" s="132"/>
      <c r="C199" s="17" t="s">
        <v>4</v>
      </c>
      <c r="D199" s="247" t="s">
        <v>29</v>
      </c>
      <c r="E199" s="157" t="s">
        <v>12</v>
      </c>
      <c r="F199" s="157" t="s">
        <v>57</v>
      </c>
      <c r="G199" s="157" t="s">
        <v>30</v>
      </c>
      <c r="H199" s="157" t="s">
        <v>31</v>
      </c>
      <c r="I199" s="250" t="s">
        <v>70</v>
      </c>
      <c r="J199" s="250" t="s">
        <v>71</v>
      </c>
      <c r="K199" s="250" t="s">
        <v>72</v>
      </c>
      <c r="L199" s="250" t="s">
        <v>73</v>
      </c>
      <c r="M199" s="245" t="s">
        <v>150</v>
      </c>
      <c r="N199" s="161"/>
    </row>
    <row r="200" spans="1:14" s="71" customFormat="1" ht="15">
      <c r="A200" s="252"/>
      <c r="B200" s="226" t="s">
        <v>144</v>
      </c>
      <c r="C200" s="227" t="s">
        <v>32</v>
      </c>
      <c r="D200" s="251"/>
      <c r="E200" s="34" t="s">
        <v>32</v>
      </c>
      <c r="F200" s="34" t="s">
        <v>32</v>
      </c>
      <c r="G200" s="34" t="s">
        <v>33</v>
      </c>
      <c r="H200" s="34" t="s">
        <v>34</v>
      </c>
      <c r="I200" s="246"/>
      <c r="J200" s="246"/>
      <c r="K200" s="246"/>
      <c r="L200" s="246"/>
      <c r="M200" s="246"/>
      <c r="N200" s="197"/>
    </row>
    <row r="201" spans="1:14" ht="14.25">
      <c r="A201" s="5">
        <v>1</v>
      </c>
      <c r="B201" s="171" t="s">
        <v>175</v>
      </c>
      <c r="C201" s="172">
        <v>200</v>
      </c>
      <c r="D201" s="173" t="s">
        <v>129</v>
      </c>
      <c r="E201" s="211">
        <v>24</v>
      </c>
      <c r="F201" s="211">
        <v>24</v>
      </c>
      <c r="G201" s="5">
        <f>Q46</f>
        <v>122</v>
      </c>
      <c r="H201" s="16">
        <f aca="true" t="shared" si="14" ref="H201:H216">E201*G201/1000</f>
        <v>2.93</v>
      </c>
      <c r="I201" s="176"/>
      <c r="J201" s="176"/>
      <c r="K201" s="176"/>
      <c r="L201" s="176"/>
      <c r="M201" s="177"/>
      <c r="N201" s="161"/>
    </row>
    <row r="202" spans="1:14" ht="14.25">
      <c r="A202" s="5"/>
      <c r="B202" s="171"/>
      <c r="C202" s="174"/>
      <c r="D202" s="173" t="s">
        <v>10</v>
      </c>
      <c r="E202" s="211">
        <v>150</v>
      </c>
      <c r="F202" s="211">
        <v>150</v>
      </c>
      <c r="G202" s="5">
        <f>Q10</f>
        <v>70</v>
      </c>
      <c r="H202" s="16">
        <f t="shared" si="14"/>
        <v>10.5</v>
      </c>
      <c r="I202" s="176"/>
      <c r="J202" s="176"/>
      <c r="K202" s="176"/>
      <c r="L202" s="176"/>
      <c r="M202" s="177"/>
      <c r="N202" s="161"/>
    </row>
    <row r="203" spans="1:14" ht="14.25">
      <c r="A203" s="5"/>
      <c r="B203" s="171"/>
      <c r="C203" s="174"/>
      <c r="D203" s="173" t="s">
        <v>28</v>
      </c>
      <c r="E203" s="211">
        <v>5</v>
      </c>
      <c r="F203" s="211">
        <v>5</v>
      </c>
      <c r="G203" s="5">
        <f>Q11</f>
        <v>490</v>
      </c>
      <c r="H203" s="16">
        <f t="shared" si="14"/>
        <v>2.45</v>
      </c>
      <c r="I203" s="176"/>
      <c r="J203" s="176"/>
      <c r="K203" s="176"/>
      <c r="L203" s="176"/>
      <c r="M203" s="177"/>
      <c r="N203" s="161"/>
    </row>
    <row r="204" spans="1:14" ht="14.25">
      <c r="A204" s="5"/>
      <c r="B204" s="171"/>
      <c r="C204" s="174"/>
      <c r="D204" s="173" t="s">
        <v>2</v>
      </c>
      <c r="E204" s="211">
        <v>4</v>
      </c>
      <c r="F204" s="211">
        <v>4</v>
      </c>
      <c r="G204" s="5">
        <f>Q56</f>
        <v>85</v>
      </c>
      <c r="H204" s="16">
        <f t="shared" si="14"/>
        <v>0.34</v>
      </c>
      <c r="I204" s="111">
        <v>7.39</v>
      </c>
      <c r="J204" s="212">
        <v>9.3</v>
      </c>
      <c r="K204" s="111">
        <v>27.63</v>
      </c>
      <c r="L204" s="111">
        <v>223.78</v>
      </c>
      <c r="M204" s="177">
        <v>411</v>
      </c>
      <c r="N204" s="161">
        <f>(I204+K204)*4+J204*9</f>
        <v>223.78</v>
      </c>
    </row>
    <row r="205" spans="1:14" ht="14.25">
      <c r="A205" s="5">
        <v>2</v>
      </c>
      <c r="B205" s="11" t="s">
        <v>190</v>
      </c>
      <c r="C205" s="12">
        <v>20</v>
      </c>
      <c r="D205" s="12" t="s">
        <v>23</v>
      </c>
      <c r="E205" s="19">
        <v>21</v>
      </c>
      <c r="F205" s="19">
        <v>20</v>
      </c>
      <c r="G205" s="5">
        <f>Q14</f>
        <v>528</v>
      </c>
      <c r="H205" s="16">
        <f t="shared" si="14"/>
        <v>11.09</v>
      </c>
      <c r="I205" s="78">
        <v>4.19</v>
      </c>
      <c r="J205" s="78">
        <v>4.72</v>
      </c>
      <c r="K205" s="78">
        <v>0.4</v>
      </c>
      <c r="L205" s="78">
        <v>60.84</v>
      </c>
      <c r="M205" s="203"/>
      <c r="N205" s="161">
        <f>(I205+K205)*4+J205*9</f>
        <v>60.84</v>
      </c>
    </row>
    <row r="206" spans="1:14" ht="14.25">
      <c r="A206" s="5">
        <v>3</v>
      </c>
      <c r="B206" s="11" t="s">
        <v>66</v>
      </c>
      <c r="C206" s="12">
        <v>20</v>
      </c>
      <c r="D206" s="12" t="s">
        <v>28</v>
      </c>
      <c r="E206" s="19">
        <v>20</v>
      </c>
      <c r="F206" s="19">
        <v>20</v>
      </c>
      <c r="G206" s="5">
        <f>Q11</f>
        <v>490</v>
      </c>
      <c r="H206" s="16">
        <f t="shared" si="14"/>
        <v>9.8</v>
      </c>
      <c r="I206" s="205">
        <v>0.08</v>
      </c>
      <c r="J206" s="205">
        <v>15.7</v>
      </c>
      <c r="K206" s="205">
        <v>0.1</v>
      </c>
      <c r="L206" s="202">
        <v>142.02</v>
      </c>
      <c r="M206" s="206">
        <v>14</v>
      </c>
      <c r="N206" s="161">
        <f>(I206+K206)*4+J206*9</f>
        <v>142.02</v>
      </c>
    </row>
    <row r="207" spans="1:14" ht="14.25">
      <c r="A207" s="5">
        <v>4</v>
      </c>
      <c r="B207" s="14" t="s">
        <v>210</v>
      </c>
      <c r="C207" s="213">
        <v>100</v>
      </c>
      <c r="D207" s="211" t="s">
        <v>74</v>
      </c>
      <c r="E207" s="211">
        <v>63</v>
      </c>
      <c r="F207" s="211">
        <v>58</v>
      </c>
      <c r="G207" s="5">
        <f>Q45</f>
        <v>38</v>
      </c>
      <c r="H207" s="16">
        <f t="shared" si="14"/>
        <v>2.39</v>
      </c>
      <c r="I207" s="176"/>
      <c r="J207" s="176"/>
      <c r="K207" s="176"/>
      <c r="L207" s="176"/>
      <c r="M207" s="177"/>
      <c r="N207" s="161"/>
    </row>
    <row r="208" spans="1:14" ht="14.25">
      <c r="A208" s="5"/>
      <c r="B208" s="14"/>
      <c r="C208" s="213"/>
      <c r="D208" s="211" t="s">
        <v>11</v>
      </c>
      <c r="E208" s="211">
        <v>0.2</v>
      </c>
      <c r="F208" s="211">
        <v>0.2</v>
      </c>
      <c r="G208" s="16">
        <f>Q5</f>
        <v>9.5</v>
      </c>
      <c r="H208" s="16">
        <f>E208*G208</f>
        <v>1.9</v>
      </c>
      <c r="I208" s="176"/>
      <c r="J208" s="176"/>
      <c r="K208" s="176"/>
      <c r="L208" s="176"/>
      <c r="M208" s="177"/>
      <c r="N208" s="161"/>
    </row>
    <row r="209" spans="1:14" ht="14.25">
      <c r="A209" s="5"/>
      <c r="B209" s="14"/>
      <c r="C209" s="213"/>
      <c r="D209" s="211" t="s">
        <v>28</v>
      </c>
      <c r="E209" s="211">
        <v>5</v>
      </c>
      <c r="F209" s="211">
        <v>5</v>
      </c>
      <c r="G209" s="5">
        <f>Q11</f>
        <v>490</v>
      </c>
      <c r="H209" s="16">
        <f t="shared" si="14"/>
        <v>2.45</v>
      </c>
      <c r="I209" s="176"/>
      <c r="J209" s="176"/>
      <c r="K209" s="176"/>
      <c r="L209" s="176"/>
      <c r="M209" s="177"/>
      <c r="N209" s="161"/>
    </row>
    <row r="210" spans="1:14" ht="14.25">
      <c r="A210" s="5"/>
      <c r="B210" s="14"/>
      <c r="C210" s="213"/>
      <c r="D210" s="211" t="s">
        <v>26</v>
      </c>
      <c r="E210" s="211">
        <v>4</v>
      </c>
      <c r="F210" s="211">
        <v>4</v>
      </c>
      <c r="G210" s="5">
        <f>Q39</f>
        <v>138</v>
      </c>
      <c r="H210" s="16">
        <f t="shared" si="14"/>
        <v>0.55</v>
      </c>
      <c r="I210" s="176"/>
      <c r="J210" s="176"/>
      <c r="K210" s="176"/>
      <c r="L210" s="176"/>
      <c r="M210" s="177"/>
      <c r="N210" s="161"/>
    </row>
    <row r="211" spans="1:14" ht="14.25">
      <c r="A211" s="5"/>
      <c r="B211" s="14"/>
      <c r="C211" s="213"/>
      <c r="D211" s="211" t="s">
        <v>181</v>
      </c>
      <c r="E211" s="211">
        <v>2.5</v>
      </c>
      <c r="F211" s="211">
        <v>2.5</v>
      </c>
      <c r="G211" s="5">
        <f>Q59</f>
        <v>377</v>
      </c>
      <c r="H211" s="16">
        <f t="shared" si="14"/>
        <v>0.94</v>
      </c>
      <c r="I211" s="176"/>
      <c r="J211" s="176"/>
      <c r="K211" s="176"/>
      <c r="L211" s="176"/>
      <c r="M211" s="177"/>
      <c r="N211" s="161"/>
    </row>
    <row r="212" spans="1:14" ht="14.25">
      <c r="A212" s="5"/>
      <c r="B212" s="14"/>
      <c r="C212" s="213"/>
      <c r="D212" s="211" t="s">
        <v>2</v>
      </c>
      <c r="E212" s="211">
        <v>12</v>
      </c>
      <c r="F212" s="211">
        <v>12</v>
      </c>
      <c r="G212" s="5">
        <f>Q56</f>
        <v>85</v>
      </c>
      <c r="H212" s="16">
        <f t="shared" si="14"/>
        <v>1.02</v>
      </c>
      <c r="I212" s="176"/>
      <c r="J212" s="176"/>
      <c r="K212" s="176"/>
      <c r="L212" s="176"/>
      <c r="M212" s="177"/>
      <c r="N212" s="161"/>
    </row>
    <row r="213" spans="1:14" ht="14.25">
      <c r="A213" s="5"/>
      <c r="B213" s="214"/>
      <c r="C213" s="215"/>
      <c r="D213" s="211" t="s">
        <v>211</v>
      </c>
      <c r="E213" s="211"/>
      <c r="F213" s="211"/>
      <c r="G213" s="5"/>
      <c r="H213" s="16"/>
      <c r="I213" s="176"/>
      <c r="J213" s="176"/>
      <c r="K213" s="176"/>
      <c r="L213" s="176"/>
      <c r="M213" s="177"/>
      <c r="N213" s="161"/>
    </row>
    <row r="214" spans="1:14" ht="14.25">
      <c r="A214" s="5"/>
      <c r="B214" s="214"/>
      <c r="C214" s="215"/>
      <c r="D214" s="211" t="s">
        <v>74</v>
      </c>
      <c r="E214" s="211">
        <v>7</v>
      </c>
      <c r="F214" s="211">
        <v>7</v>
      </c>
      <c r="G214" s="5">
        <f>Q45</f>
        <v>38</v>
      </c>
      <c r="H214" s="16">
        <f t="shared" si="14"/>
        <v>0.27</v>
      </c>
      <c r="I214" s="176"/>
      <c r="J214" s="176"/>
      <c r="K214" s="176"/>
      <c r="L214" s="176"/>
      <c r="M214" s="177"/>
      <c r="N214" s="161"/>
    </row>
    <row r="215" spans="1:14" ht="14.25">
      <c r="A215" s="5"/>
      <c r="B215" s="214"/>
      <c r="C215" s="215"/>
      <c r="D215" s="211" t="s">
        <v>28</v>
      </c>
      <c r="E215" s="211">
        <v>3</v>
      </c>
      <c r="F215" s="211">
        <v>3</v>
      </c>
      <c r="G215" s="5">
        <f>Q11</f>
        <v>490</v>
      </c>
      <c r="H215" s="16">
        <f t="shared" si="14"/>
        <v>1.47</v>
      </c>
      <c r="I215" s="176"/>
      <c r="J215" s="176"/>
      <c r="K215" s="176"/>
      <c r="L215" s="176"/>
      <c r="M215" s="177"/>
      <c r="N215" s="161"/>
    </row>
    <row r="216" spans="1:14" ht="14.25">
      <c r="A216" s="5"/>
      <c r="B216" s="214"/>
      <c r="C216" s="215"/>
      <c r="D216" s="211" t="s">
        <v>26</v>
      </c>
      <c r="E216" s="211">
        <v>3</v>
      </c>
      <c r="F216" s="211">
        <v>3</v>
      </c>
      <c r="G216" s="5">
        <f>Q39</f>
        <v>138</v>
      </c>
      <c r="H216" s="16">
        <f t="shared" si="14"/>
        <v>0.41</v>
      </c>
      <c r="I216" s="176">
        <v>7.75</v>
      </c>
      <c r="J216" s="176">
        <v>12.64</v>
      </c>
      <c r="K216" s="176">
        <v>56</v>
      </c>
      <c r="L216" s="176">
        <v>368.76</v>
      </c>
      <c r="M216" s="177">
        <v>503</v>
      </c>
      <c r="N216" s="161">
        <f>(I216+K216)*4+J216*9</f>
        <v>368.76</v>
      </c>
    </row>
    <row r="217" spans="1:14" ht="14.25">
      <c r="A217" s="5">
        <v>5</v>
      </c>
      <c r="B217" s="3" t="s">
        <v>135</v>
      </c>
      <c r="C217" s="15">
        <v>200</v>
      </c>
      <c r="D217" s="5" t="s">
        <v>136</v>
      </c>
      <c r="E217" s="5">
        <v>3</v>
      </c>
      <c r="F217" s="5">
        <v>3</v>
      </c>
      <c r="G217" s="5">
        <f>Q63</f>
        <v>400</v>
      </c>
      <c r="H217" s="16">
        <f>E217*G217/1000</f>
        <v>1.2</v>
      </c>
      <c r="I217" s="78"/>
      <c r="J217" s="78"/>
      <c r="K217" s="78"/>
      <c r="L217" s="78"/>
      <c r="M217" s="45"/>
      <c r="N217" s="161"/>
    </row>
    <row r="218" spans="1:14" ht="14.25">
      <c r="A218" s="5"/>
      <c r="B218" s="3"/>
      <c r="C218" s="15"/>
      <c r="D218" s="5" t="s">
        <v>10</v>
      </c>
      <c r="E218" s="5">
        <v>90</v>
      </c>
      <c r="F218" s="5">
        <v>90</v>
      </c>
      <c r="G218" s="5">
        <f>Q10</f>
        <v>70</v>
      </c>
      <c r="H218" s="16">
        <f>E218*G218/1000</f>
        <v>6.3</v>
      </c>
      <c r="I218" s="78"/>
      <c r="J218" s="78"/>
      <c r="K218" s="78"/>
      <c r="L218" s="78"/>
      <c r="M218" s="45"/>
      <c r="N218" s="161"/>
    </row>
    <row r="219" spans="1:14" ht="14.25">
      <c r="A219" s="5"/>
      <c r="B219" s="31"/>
      <c r="C219" s="9"/>
      <c r="D219" s="8" t="s">
        <v>2</v>
      </c>
      <c r="E219" s="5">
        <v>14</v>
      </c>
      <c r="F219" s="5">
        <v>14</v>
      </c>
      <c r="G219" s="5">
        <f>Q56</f>
        <v>85</v>
      </c>
      <c r="H219" s="16">
        <f>E219*G219/1000</f>
        <v>1.19</v>
      </c>
      <c r="I219" s="202">
        <v>3.52</v>
      </c>
      <c r="J219" s="202">
        <v>3.72</v>
      </c>
      <c r="K219" s="202">
        <v>25.49</v>
      </c>
      <c r="L219" s="202">
        <f>(I219+K219)*4+J219*9</f>
        <v>149.52</v>
      </c>
      <c r="M219" s="203">
        <v>382</v>
      </c>
      <c r="N219" s="161">
        <f>(I219+K219)*4+J219*9</f>
        <v>149.52</v>
      </c>
    </row>
    <row r="220" spans="1:14" ht="14.25">
      <c r="A220" s="5">
        <v>6</v>
      </c>
      <c r="B220" s="201" t="s">
        <v>137</v>
      </c>
      <c r="C220" s="101">
        <v>100</v>
      </c>
      <c r="D220" s="5" t="s">
        <v>138</v>
      </c>
      <c r="E220" s="5">
        <v>100</v>
      </c>
      <c r="F220" s="5"/>
      <c r="G220" s="5">
        <f>Q31</f>
        <v>112</v>
      </c>
      <c r="H220" s="16">
        <f>E220*G220/1000</f>
        <v>11.2</v>
      </c>
      <c r="I220" s="202">
        <v>0.4</v>
      </c>
      <c r="J220" s="202">
        <v>0.4</v>
      </c>
      <c r="K220" s="202">
        <v>9.8</v>
      </c>
      <c r="L220" s="202">
        <f>(I220+K220)*4+J220*9</f>
        <v>44.4</v>
      </c>
      <c r="M220" s="203">
        <v>368</v>
      </c>
      <c r="N220" s="161">
        <f>(I220+K220)*4+J220*9</f>
        <v>44.4</v>
      </c>
    </row>
    <row r="221" spans="1:14" ht="14.25">
      <c r="A221" s="5"/>
      <c r="B221" s="2"/>
      <c r="C221" s="101"/>
      <c r="D221" s="5" t="s">
        <v>170</v>
      </c>
      <c r="E221" s="5">
        <v>3</v>
      </c>
      <c r="F221" s="5">
        <v>3</v>
      </c>
      <c r="G221" s="5">
        <f>Q60</f>
        <v>24</v>
      </c>
      <c r="H221" s="16">
        <f>E221*G221/1000</f>
        <v>0.07</v>
      </c>
      <c r="I221" s="78"/>
      <c r="J221" s="78"/>
      <c r="K221" s="78"/>
      <c r="L221" s="78"/>
      <c r="M221" s="45"/>
      <c r="N221" s="161"/>
    </row>
    <row r="222" spans="1:14" ht="15">
      <c r="A222" s="2"/>
      <c r="B222" s="3"/>
      <c r="C222" s="209">
        <f>SUM(C201:C221)</f>
        <v>640</v>
      </c>
      <c r="D222" s="5"/>
      <c r="E222" s="5"/>
      <c r="F222" s="5"/>
      <c r="G222" s="5"/>
      <c r="H222" s="69">
        <f>SUM(H201:H221)</f>
        <v>68.47</v>
      </c>
      <c r="I222" s="69">
        <f>SUM(I201:I221)</f>
        <v>23.33</v>
      </c>
      <c r="J222" s="69">
        <f>SUM(J201:J221)</f>
        <v>46.48</v>
      </c>
      <c r="K222" s="69">
        <f>SUM(K201:K221)</f>
        <v>119.42</v>
      </c>
      <c r="L222" s="69">
        <f>SUM(L201:L221)</f>
        <v>989.32</v>
      </c>
      <c r="M222" s="152"/>
      <c r="N222" s="161">
        <f>(I222+K222)*4+J222*9</f>
        <v>989.32</v>
      </c>
    </row>
    <row r="223" spans="1:14" ht="15">
      <c r="A223" s="5"/>
      <c r="B223" s="73" t="s">
        <v>145</v>
      </c>
      <c r="C223" s="9"/>
      <c r="D223" s="8"/>
      <c r="E223" s="5"/>
      <c r="F223" s="5"/>
      <c r="G223" s="5"/>
      <c r="H223" s="16"/>
      <c r="I223" s="16"/>
      <c r="J223" s="16"/>
      <c r="K223" s="16"/>
      <c r="L223" s="16"/>
      <c r="M223" s="45"/>
      <c r="N223" s="161"/>
    </row>
    <row r="224" spans="1:14" ht="14.25">
      <c r="A224" s="5">
        <v>1</v>
      </c>
      <c r="B224" s="14" t="s">
        <v>154</v>
      </c>
      <c r="C224" s="143">
        <v>250</v>
      </c>
      <c r="D224" s="5" t="s">
        <v>7</v>
      </c>
      <c r="E224" s="5">
        <v>77</v>
      </c>
      <c r="F224" s="5">
        <v>50</v>
      </c>
      <c r="G224" s="5">
        <f>Q22</f>
        <v>57</v>
      </c>
      <c r="H224" s="16">
        <f aca="true" t="shared" si="15" ref="H224:H246">E224*G224/1000</f>
        <v>4.39</v>
      </c>
      <c r="I224" s="16"/>
      <c r="J224" s="16"/>
      <c r="K224" s="16"/>
      <c r="L224" s="16"/>
      <c r="M224" s="45"/>
      <c r="N224" s="161"/>
    </row>
    <row r="225" spans="1:14" ht="14.25">
      <c r="A225" s="5"/>
      <c r="B225" s="8"/>
      <c r="C225" s="15"/>
      <c r="D225" s="5" t="s">
        <v>21</v>
      </c>
      <c r="E225" s="5">
        <v>20</v>
      </c>
      <c r="F225" s="5">
        <v>16</v>
      </c>
      <c r="G225" s="5">
        <f>Q52</f>
        <v>61</v>
      </c>
      <c r="H225" s="16">
        <f t="shared" si="15"/>
        <v>1.22</v>
      </c>
      <c r="I225" s="16"/>
      <c r="J225" s="16"/>
      <c r="K225" s="16"/>
      <c r="L225" s="16"/>
      <c r="M225" s="45"/>
      <c r="N225" s="161"/>
    </row>
    <row r="226" spans="1:14" ht="14.25">
      <c r="A226" s="5"/>
      <c r="B226" s="8"/>
      <c r="C226" s="15"/>
      <c r="D226" s="5" t="s">
        <v>6</v>
      </c>
      <c r="E226" s="5">
        <v>12</v>
      </c>
      <c r="F226" s="5">
        <v>10</v>
      </c>
      <c r="G226" s="5">
        <f>Q24</f>
        <v>46</v>
      </c>
      <c r="H226" s="16">
        <f t="shared" si="15"/>
        <v>0.55</v>
      </c>
      <c r="I226" s="16"/>
      <c r="J226" s="16"/>
      <c r="K226" s="16"/>
      <c r="L226" s="16"/>
      <c r="M226" s="45"/>
      <c r="N226" s="161"/>
    </row>
    <row r="227" spans="1:14" ht="14.25">
      <c r="A227" s="5"/>
      <c r="B227" s="8"/>
      <c r="C227" s="15"/>
      <c r="D227" s="5" t="s">
        <v>8</v>
      </c>
      <c r="E227" s="5">
        <v>13</v>
      </c>
      <c r="F227" s="5">
        <v>10</v>
      </c>
      <c r="G227" s="5">
        <f>Q25</f>
        <v>66</v>
      </c>
      <c r="H227" s="16">
        <f t="shared" si="15"/>
        <v>0.86</v>
      </c>
      <c r="I227" s="16"/>
      <c r="J227" s="16"/>
      <c r="K227" s="16"/>
      <c r="L227" s="16"/>
      <c r="M227" s="45"/>
      <c r="N227" s="161"/>
    </row>
    <row r="228" spans="1:14" ht="14.25">
      <c r="A228" s="5"/>
      <c r="B228" s="8"/>
      <c r="C228" s="15"/>
      <c r="D228" s="5" t="s">
        <v>26</v>
      </c>
      <c r="E228" s="5">
        <v>5</v>
      </c>
      <c r="F228" s="5">
        <v>5</v>
      </c>
      <c r="G228" s="5">
        <f>Q39</f>
        <v>138</v>
      </c>
      <c r="H228" s="16">
        <f t="shared" si="15"/>
        <v>0.69</v>
      </c>
      <c r="I228" s="16">
        <v>6.2</v>
      </c>
      <c r="J228" s="16">
        <v>5.51</v>
      </c>
      <c r="K228" s="16">
        <v>20.55</v>
      </c>
      <c r="L228" s="16">
        <v>156.59</v>
      </c>
      <c r="M228" s="184">
        <v>221</v>
      </c>
      <c r="N228" s="161">
        <f>(I228+K228)*4+J228*9</f>
        <v>156.59</v>
      </c>
    </row>
    <row r="229" spans="1:14" ht="14.25">
      <c r="A229" s="5">
        <v>2</v>
      </c>
      <c r="B229" s="189" t="s">
        <v>220</v>
      </c>
      <c r="C229" s="28" t="s">
        <v>234</v>
      </c>
      <c r="D229" s="28" t="s">
        <v>16</v>
      </c>
      <c r="E229" s="19">
        <v>59</v>
      </c>
      <c r="F229" s="19">
        <v>59</v>
      </c>
      <c r="G229" s="5">
        <f>Q6</f>
        <v>607</v>
      </c>
      <c r="H229" s="16">
        <f t="shared" si="15"/>
        <v>35.81</v>
      </c>
      <c r="I229" s="202"/>
      <c r="J229" s="202"/>
      <c r="K229" s="202"/>
      <c r="L229" s="202"/>
      <c r="M229" s="203"/>
      <c r="N229" s="161"/>
    </row>
    <row r="230" spans="1:14" ht="14.25">
      <c r="A230" s="5"/>
      <c r="B230" s="229"/>
      <c r="C230" s="28"/>
      <c r="D230" s="28" t="s">
        <v>19</v>
      </c>
      <c r="E230" s="19">
        <v>13</v>
      </c>
      <c r="F230" s="19">
        <v>13</v>
      </c>
      <c r="G230" s="5">
        <f>Q66</f>
        <v>48</v>
      </c>
      <c r="H230" s="16">
        <f t="shared" si="15"/>
        <v>0.62</v>
      </c>
      <c r="I230" s="202"/>
      <c r="J230" s="202"/>
      <c r="K230" s="202"/>
      <c r="L230" s="202"/>
      <c r="M230" s="203"/>
      <c r="N230" s="161"/>
    </row>
    <row r="231" spans="1:14" ht="14.25">
      <c r="A231" s="5"/>
      <c r="B231" s="229"/>
      <c r="C231" s="28"/>
      <c r="D231" s="28" t="s">
        <v>10</v>
      </c>
      <c r="E231" s="19">
        <v>17</v>
      </c>
      <c r="F231" s="19">
        <v>17</v>
      </c>
      <c r="G231" s="5">
        <f>Q10</f>
        <v>70</v>
      </c>
      <c r="H231" s="16">
        <f t="shared" si="15"/>
        <v>1.19</v>
      </c>
      <c r="I231" s="202"/>
      <c r="J231" s="202"/>
      <c r="K231" s="202"/>
      <c r="L231" s="202"/>
      <c r="M231" s="203"/>
      <c r="N231" s="161"/>
    </row>
    <row r="232" spans="1:14" ht="14.25">
      <c r="A232" s="5"/>
      <c r="B232" s="229"/>
      <c r="C232" s="28"/>
      <c r="D232" s="28" t="s">
        <v>6</v>
      </c>
      <c r="E232" s="19">
        <v>5</v>
      </c>
      <c r="F232" s="19">
        <v>4</v>
      </c>
      <c r="G232" s="5">
        <f>Q24</f>
        <v>46</v>
      </c>
      <c r="H232" s="16">
        <f t="shared" si="15"/>
        <v>0.23</v>
      </c>
      <c r="I232" s="202"/>
      <c r="J232" s="202"/>
      <c r="K232" s="202"/>
      <c r="L232" s="202"/>
      <c r="M232" s="203"/>
      <c r="N232" s="161"/>
    </row>
    <row r="233" spans="1:14" ht="14.25">
      <c r="A233" s="5"/>
      <c r="B233" s="229"/>
      <c r="C233" s="28"/>
      <c r="D233" s="28" t="s">
        <v>26</v>
      </c>
      <c r="E233" s="19">
        <v>5</v>
      </c>
      <c r="F233" s="19">
        <v>5</v>
      </c>
      <c r="G233" s="5">
        <f>Q39</f>
        <v>138</v>
      </c>
      <c r="H233" s="16">
        <f t="shared" si="15"/>
        <v>0.69</v>
      </c>
      <c r="I233" s="202"/>
      <c r="J233" s="202"/>
      <c r="K233" s="202"/>
      <c r="L233" s="202"/>
      <c r="M233" s="203"/>
      <c r="N233" s="161"/>
    </row>
    <row r="234" spans="1:14" ht="14.25">
      <c r="A234" s="5"/>
      <c r="B234" s="229"/>
      <c r="C234" s="28"/>
      <c r="D234" s="28" t="s">
        <v>9</v>
      </c>
      <c r="E234" s="19">
        <v>10</v>
      </c>
      <c r="F234" s="19">
        <v>10</v>
      </c>
      <c r="G234" s="5">
        <f>Q12</f>
        <v>182</v>
      </c>
      <c r="H234" s="16">
        <f t="shared" si="15"/>
        <v>1.82</v>
      </c>
      <c r="I234" s="202"/>
      <c r="J234" s="202"/>
      <c r="K234" s="202"/>
      <c r="L234" s="202"/>
      <c r="M234" s="203"/>
      <c r="N234" s="161"/>
    </row>
    <row r="235" spans="1:14" ht="14.25">
      <c r="A235" s="5"/>
      <c r="B235" s="229"/>
      <c r="C235" s="28"/>
      <c r="D235" s="28" t="s">
        <v>74</v>
      </c>
      <c r="E235" s="19">
        <v>10</v>
      </c>
      <c r="F235" s="19">
        <v>10</v>
      </c>
      <c r="G235" s="5">
        <f>Q45</f>
        <v>38</v>
      </c>
      <c r="H235" s="16">
        <f t="shared" si="15"/>
        <v>0.38</v>
      </c>
      <c r="I235" s="202"/>
      <c r="J235" s="202"/>
      <c r="K235" s="202"/>
      <c r="L235" s="202"/>
      <c r="M235" s="203"/>
      <c r="N235" s="161"/>
    </row>
    <row r="236" spans="1:14" ht="14.25">
      <c r="A236" s="5"/>
      <c r="B236" s="229"/>
      <c r="C236" s="28"/>
      <c r="D236" s="28" t="s">
        <v>28</v>
      </c>
      <c r="E236" s="19">
        <v>1</v>
      </c>
      <c r="F236" s="19">
        <v>1</v>
      </c>
      <c r="G236" s="5">
        <f>Q11</f>
        <v>490</v>
      </c>
      <c r="H236" s="16">
        <f t="shared" si="15"/>
        <v>0.49</v>
      </c>
      <c r="I236" s="202"/>
      <c r="J236" s="202"/>
      <c r="K236" s="202"/>
      <c r="L236" s="202"/>
      <c r="M236" s="203"/>
      <c r="N236" s="161"/>
    </row>
    <row r="237" spans="1:14" ht="14.25">
      <c r="A237" s="5"/>
      <c r="B237" s="229"/>
      <c r="C237" s="28"/>
      <c r="D237" s="28" t="s">
        <v>8</v>
      </c>
      <c r="E237" s="19">
        <v>4</v>
      </c>
      <c r="F237" s="19">
        <v>3</v>
      </c>
      <c r="G237" s="5">
        <f>Q25</f>
        <v>66</v>
      </c>
      <c r="H237" s="16">
        <f t="shared" si="15"/>
        <v>0.26</v>
      </c>
      <c r="I237" s="202"/>
      <c r="J237" s="202"/>
      <c r="K237" s="202"/>
      <c r="L237" s="202"/>
      <c r="M237" s="203"/>
      <c r="N237" s="161"/>
    </row>
    <row r="238" spans="1:14" ht="14.25">
      <c r="A238" s="5"/>
      <c r="B238" s="229"/>
      <c r="C238" s="28"/>
      <c r="D238" s="28" t="s">
        <v>6</v>
      </c>
      <c r="E238" s="19">
        <v>2</v>
      </c>
      <c r="F238" s="19">
        <v>1</v>
      </c>
      <c r="G238" s="5">
        <f>Q24</f>
        <v>46</v>
      </c>
      <c r="H238" s="16">
        <f t="shared" si="15"/>
        <v>0.09</v>
      </c>
      <c r="I238" s="202"/>
      <c r="J238" s="202"/>
      <c r="K238" s="202"/>
      <c r="L238" s="202"/>
      <c r="M238" s="203"/>
      <c r="N238" s="161"/>
    </row>
    <row r="239" spans="1:14" ht="14.25">
      <c r="A239" s="5"/>
      <c r="B239" s="229"/>
      <c r="C239" s="28"/>
      <c r="D239" s="28" t="s">
        <v>27</v>
      </c>
      <c r="E239" s="19">
        <v>1</v>
      </c>
      <c r="F239" s="19">
        <v>1</v>
      </c>
      <c r="G239" s="5">
        <f>Q30</f>
        <v>123</v>
      </c>
      <c r="H239" s="16">
        <f t="shared" si="15"/>
        <v>0.12</v>
      </c>
      <c r="I239" s="176">
        <v>17.52</v>
      </c>
      <c r="J239" s="176">
        <v>14.52</v>
      </c>
      <c r="K239" s="176">
        <v>28.35</v>
      </c>
      <c r="L239" s="176">
        <v>314.16</v>
      </c>
      <c r="M239" s="177">
        <v>670</v>
      </c>
      <c r="N239" s="161">
        <f>(I239+K239)*4+J239*9</f>
        <v>314.16</v>
      </c>
    </row>
    <row r="240" spans="1:14" ht="14.25">
      <c r="A240" s="5">
        <v>3</v>
      </c>
      <c r="B240" s="221" t="s">
        <v>221</v>
      </c>
      <c r="C240" s="5">
        <v>150</v>
      </c>
      <c r="D240" s="5" t="s">
        <v>222</v>
      </c>
      <c r="E240" s="5">
        <v>50</v>
      </c>
      <c r="F240" s="5">
        <v>50</v>
      </c>
      <c r="G240" s="5">
        <f>Q54</f>
        <v>51</v>
      </c>
      <c r="H240" s="16">
        <f t="shared" si="15"/>
        <v>2.55</v>
      </c>
      <c r="I240" s="202"/>
      <c r="J240" s="202"/>
      <c r="K240" s="202"/>
      <c r="L240" s="202"/>
      <c r="M240" s="203"/>
      <c r="N240" s="161"/>
    </row>
    <row r="241" spans="1:14" ht="14.25">
      <c r="A241" s="5"/>
      <c r="B241" s="189"/>
      <c r="C241" s="28"/>
      <c r="D241" s="28" t="s">
        <v>28</v>
      </c>
      <c r="E241" s="5">
        <v>8</v>
      </c>
      <c r="F241" s="5">
        <v>8</v>
      </c>
      <c r="G241" s="5">
        <f>Q11</f>
        <v>490</v>
      </c>
      <c r="H241" s="16">
        <f t="shared" si="15"/>
        <v>3.92</v>
      </c>
      <c r="I241" s="228">
        <v>8.1</v>
      </c>
      <c r="J241" s="228">
        <v>0.9</v>
      </c>
      <c r="K241" s="228">
        <v>52.2</v>
      </c>
      <c r="L241" s="228">
        <v>249.3</v>
      </c>
      <c r="M241" s="203"/>
      <c r="N241" s="161">
        <f>(I241+K241)*4+J241*9</f>
        <v>249.3</v>
      </c>
    </row>
    <row r="242" spans="1:17" ht="14.25">
      <c r="A242" s="5">
        <v>4</v>
      </c>
      <c r="B242" s="3" t="s">
        <v>35</v>
      </c>
      <c r="C242" s="15">
        <v>50</v>
      </c>
      <c r="D242" s="5" t="s">
        <v>19</v>
      </c>
      <c r="E242" s="5">
        <v>50</v>
      </c>
      <c r="F242" s="5">
        <v>50</v>
      </c>
      <c r="G242" s="34">
        <f>Q66</f>
        <v>48</v>
      </c>
      <c r="H242" s="16">
        <f t="shared" si="15"/>
        <v>2.4</v>
      </c>
      <c r="I242" s="202">
        <v>3.06</v>
      </c>
      <c r="J242" s="202">
        <v>9.54</v>
      </c>
      <c r="K242" s="202">
        <v>18.28</v>
      </c>
      <c r="L242" s="202">
        <f>(I242+K242)*4+J242*9</f>
        <v>171.22</v>
      </c>
      <c r="M242" s="203">
        <v>1</v>
      </c>
      <c r="N242" s="161">
        <f>(I242+K242)*4+J242*9</f>
        <v>171.22</v>
      </c>
      <c r="O242" s="21"/>
      <c r="P242" s="36"/>
      <c r="Q242" s="22"/>
    </row>
    <row r="243" spans="1:17" ht="14.25">
      <c r="A243" s="5">
        <v>5</v>
      </c>
      <c r="B243" s="31" t="s">
        <v>25</v>
      </c>
      <c r="C243" s="5">
        <v>200</v>
      </c>
      <c r="D243" s="5" t="s">
        <v>20</v>
      </c>
      <c r="E243" s="5">
        <v>15</v>
      </c>
      <c r="F243" s="5">
        <v>15</v>
      </c>
      <c r="G243" s="34">
        <f>Q35</f>
        <v>148</v>
      </c>
      <c r="H243" s="16">
        <f t="shared" si="15"/>
        <v>2.22</v>
      </c>
      <c r="I243" s="16"/>
      <c r="J243" s="16"/>
      <c r="K243" s="16"/>
      <c r="L243" s="16"/>
      <c r="M243" s="45"/>
      <c r="N243" s="161"/>
      <c r="O243" s="21"/>
      <c r="P243" s="36"/>
      <c r="Q243" s="22"/>
    </row>
    <row r="244" spans="1:17" ht="14.25">
      <c r="A244" s="5"/>
      <c r="B244" s="5"/>
      <c r="C244" s="5"/>
      <c r="D244" s="5" t="s">
        <v>2</v>
      </c>
      <c r="E244" s="5">
        <v>14</v>
      </c>
      <c r="F244" s="5">
        <v>14</v>
      </c>
      <c r="G244" s="34">
        <f>Q56</f>
        <v>85</v>
      </c>
      <c r="H244" s="16">
        <f t="shared" si="15"/>
        <v>1.19</v>
      </c>
      <c r="I244" s="205">
        <v>0.04</v>
      </c>
      <c r="J244" s="205">
        <v>0</v>
      </c>
      <c r="K244" s="205">
        <v>24.76</v>
      </c>
      <c r="L244" s="202">
        <f>(I244+K244)*4+J244*9</f>
        <v>99.2</v>
      </c>
      <c r="M244" s="203">
        <v>349</v>
      </c>
      <c r="N244" s="161">
        <f>(I244+K244)*4+J244*9</f>
        <v>99.2</v>
      </c>
      <c r="O244" s="21"/>
      <c r="P244" s="36"/>
      <c r="Q244" s="22"/>
    </row>
    <row r="245" spans="1:17" ht="14.25">
      <c r="A245" s="5"/>
      <c r="B245" s="14"/>
      <c r="C245" s="5"/>
      <c r="D245" s="5" t="s">
        <v>102</v>
      </c>
      <c r="E245" s="34">
        <v>0.0005</v>
      </c>
      <c r="F245" s="34">
        <v>0.0005</v>
      </c>
      <c r="G245" s="34"/>
      <c r="H245" s="16"/>
      <c r="I245" s="16"/>
      <c r="J245" s="16"/>
      <c r="K245" s="16"/>
      <c r="L245" s="16"/>
      <c r="M245" s="45"/>
      <c r="N245" s="161"/>
      <c r="O245" s="21"/>
      <c r="P245" s="36"/>
      <c r="Q245" s="22"/>
    </row>
    <row r="246" spans="1:17" ht="14.25">
      <c r="A246" s="5">
        <v>6</v>
      </c>
      <c r="B246" s="198" t="s">
        <v>137</v>
      </c>
      <c r="C246" s="5">
        <v>60</v>
      </c>
      <c r="D246" s="5" t="s">
        <v>138</v>
      </c>
      <c r="E246" s="34">
        <v>60</v>
      </c>
      <c r="F246" s="34"/>
      <c r="G246" s="34">
        <f>Q31</f>
        <v>112</v>
      </c>
      <c r="H246" s="16">
        <f t="shared" si="15"/>
        <v>6.72</v>
      </c>
      <c r="I246" s="202">
        <v>0.24</v>
      </c>
      <c r="J246" s="202">
        <v>0.24</v>
      </c>
      <c r="K246" s="202">
        <v>5.88</v>
      </c>
      <c r="L246" s="202">
        <v>26.64</v>
      </c>
      <c r="M246" s="203">
        <v>368</v>
      </c>
      <c r="N246" s="161">
        <f>(I246+K246)*4+J246*9</f>
        <v>26.64</v>
      </c>
      <c r="O246" s="21"/>
      <c r="P246" s="36"/>
      <c r="Q246" s="22"/>
    </row>
    <row r="247" spans="1:17" ht="14.25">
      <c r="A247" s="5"/>
      <c r="B247" s="14"/>
      <c r="C247" s="14"/>
      <c r="D247" s="8" t="s">
        <v>170</v>
      </c>
      <c r="E247" s="8">
        <v>2</v>
      </c>
      <c r="F247" s="8">
        <v>2</v>
      </c>
      <c r="G247" s="8">
        <f>Q60</f>
        <v>24</v>
      </c>
      <c r="H247" s="16">
        <f>G247*E247/1000</f>
        <v>0.05</v>
      </c>
      <c r="I247" s="16"/>
      <c r="J247" s="16"/>
      <c r="K247" s="16"/>
      <c r="L247" s="16"/>
      <c r="M247" s="45"/>
      <c r="N247" s="161"/>
      <c r="O247" s="21"/>
      <c r="P247" s="36"/>
      <c r="Q247" s="22"/>
    </row>
    <row r="248" spans="1:17" ht="14.25">
      <c r="A248" s="5"/>
      <c r="B248" s="14"/>
      <c r="C248" s="14"/>
      <c r="D248" s="8" t="s">
        <v>94</v>
      </c>
      <c r="E248" s="8">
        <v>0.02</v>
      </c>
      <c r="F248" s="8">
        <v>0.02</v>
      </c>
      <c r="G248" s="8">
        <f>Q65</f>
        <v>483</v>
      </c>
      <c r="H248" s="16">
        <f>G248*E248/1000</f>
        <v>0.01</v>
      </c>
      <c r="I248" s="16"/>
      <c r="J248" s="16"/>
      <c r="K248" s="16"/>
      <c r="L248" s="16"/>
      <c r="M248" s="45"/>
      <c r="N248" s="161"/>
      <c r="O248" s="21"/>
      <c r="P248" s="36"/>
      <c r="Q248" s="22"/>
    </row>
    <row r="249" spans="1:17" ht="15">
      <c r="A249" s="5"/>
      <c r="B249" s="8"/>
      <c r="C249" s="209">
        <v>845</v>
      </c>
      <c r="D249" s="5"/>
      <c r="E249" s="5"/>
      <c r="F249" s="5"/>
      <c r="G249" s="5"/>
      <c r="H249" s="69">
        <f>SUM(H224:H248)</f>
        <v>68.47</v>
      </c>
      <c r="I249" s="69">
        <f>SUM(I224:I248)</f>
        <v>35.16</v>
      </c>
      <c r="J249" s="69">
        <f>SUM(J224:J248)</f>
        <v>30.71</v>
      </c>
      <c r="K249" s="69">
        <f>SUM(K224:K248)</f>
        <v>150.02</v>
      </c>
      <c r="L249" s="69">
        <f>SUM(L224:L248)</f>
        <v>1017.11</v>
      </c>
      <c r="M249" s="152"/>
      <c r="N249" s="161">
        <f>(I249+K249)*4+J249*9</f>
        <v>1017.11</v>
      </c>
      <c r="O249" s="21"/>
      <c r="P249" s="36"/>
      <c r="Q249" s="22"/>
    </row>
    <row r="250" spans="1:14" ht="15">
      <c r="A250" s="27"/>
      <c r="B250" s="75"/>
      <c r="C250" s="27"/>
      <c r="D250" s="27"/>
      <c r="N250" s="161"/>
    </row>
    <row r="251" spans="1:14" ht="15">
      <c r="A251" s="27"/>
      <c r="B251" s="75"/>
      <c r="C251" s="27"/>
      <c r="D251" s="27"/>
      <c r="N251" s="161"/>
    </row>
    <row r="252" spans="1:14" ht="15">
      <c r="A252" s="27"/>
      <c r="B252" s="75" t="s">
        <v>38</v>
      </c>
      <c r="C252" s="27"/>
      <c r="D252" s="27"/>
      <c r="F252" s="1" t="s">
        <v>146</v>
      </c>
      <c r="N252" s="161"/>
    </row>
    <row r="253" spans="1:21" ht="31.5" customHeight="1">
      <c r="A253" s="247" t="s">
        <v>3</v>
      </c>
      <c r="B253" s="8"/>
      <c r="C253" s="8" t="s">
        <v>4</v>
      </c>
      <c r="D253" s="247" t="s">
        <v>29</v>
      </c>
      <c r="E253" s="101" t="s">
        <v>12</v>
      </c>
      <c r="F253" s="101" t="s">
        <v>57</v>
      </c>
      <c r="G253" s="101" t="s">
        <v>30</v>
      </c>
      <c r="H253" s="101" t="s">
        <v>31</v>
      </c>
      <c r="I253" s="250" t="s">
        <v>70</v>
      </c>
      <c r="J253" s="250" t="s">
        <v>71</v>
      </c>
      <c r="K253" s="250" t="s">
        <v>72</v>
      </c>
      <c r="L253" s="250" t="s">
        <v>73</v>
      </c>
      <c r="M253" s="245" t="s">
        <v>150</v>
      </c>
      <c r="N253" s="161"/>
      <c r="R253" s="21"/>
      <c r="S253" s="21"/>
      <c r="T253" s="21"/>
      <c r="U253" s="22"/>
    </row>
    <row r="254" spans="1:21" ht="15">
      <c r="A254" s="248"/>
      <c r="B254" s="72" t="s">
        <v>144</v>
      </c>
      <c r="C254" s="17" t="s">
        <v>32</v>
      </c>
      <c r="D254" s="251"/>
      <c r="E254" s="5" t="s">
        <v>32</v>
      </c>
      <c r="F254" s="5" t="s">
        <v>32</v>
      </c>
      <c r="G254" s="5" t="s">
        <v>33</v>
      </c>
      <c r="H254" s="5" t="s">
        <v>34</v>
      </c>
      <c r="I254" s="254"/>
      <c r="J254" s="254"/>
      <c r="K254" s="254"/>
      <c r="L254" s="254"/>
      <c r="M254" s="254"/>
      <c r="N254" s="161"/>
      <c r="R254" s="21"/>
      <c r="S254" s="21"/>
      <c r="T254" s="21"/>
      <c r="U254" s="22"/>
    </row>
    <row r="255" spans="1:21" ht="14.25">
      <c r="A255" s="8">
        <v>1</v>
      </c>
      <c r="B255" s="31" t="s">
        <v>182</v>
      </c>
      <c r="C255" s="5" t="s">
        <v>161</v>
      </c>
      <c r="D255" s="5" t="s">
        <v>16</v>
      </c>
      <c r="E255" s="5">
        <v>65</v>
      </c>
      <c r="F255" s="5">
        <v>65</v>
      </c>
      <c r="G255" s="5">
        <f>Q6</f>
        <v>607</v>
      </c>
      <c r="H255" s="16">
        <f aca="true" t="shared" si="16" ref="H255:H273">G255*E255/1000</f>
        <v>39.46</v>
      </c>
      <c r="I255" s="16"/>
      <c r="J255" s="16"/>
      <c r="K255" s="16"/>
      <c r="L255" s="16"/>
      <c r="M255" s="45"/>
      <c r="N255" s="161"/>
      <c r="R255" s="21"/>
      <c r="S255" s="21"/>
      <c r="T255" s="21"/>
      <c r="U255" s="22"/>
    </row>
    <row r="256" spans="1:21" ht="14.25">
      <c r="A256" s="8"/>
      <c r="B256" s="5"/>
      <c r="C256" s="5"/>
      <c r="D256" s="5" t="s">
        <v>19</v>
      </c>
      <c r="E256" s="5">
        <v>13</v>
      </c>
      <c r="F256" s="5">
        <v>13</v>
      </c>
      <c r="G256" s="5">
        <f>Q66</f>
        <v>48</v>
      </c>
      <c r="H256" s="16">
        <f t="shared" si="16"/>
        <v>0.62</v>
      </c>
      <c r="I256" s="16"/>
      <c r="J256" s="16"/>
      <c r="K256" s="16"/>
      <c r="L256" s="16"/>
      <c r="M256" s="45"/>
      <c r="N256" s="161"/>
      <c r="R256" s="21"/>
      <c r="S256" s="21"/>
      <c r="T256" s="21"/>
      <c r="U256" s="22"/>
    </row>
    <row r="257" spans="1:21" ht="14.25">
      <c r="A257" s="5"/>
      <c r="B257" s="5"/>
      <c r="C257" s="5"/>
      <c r="D257" s="5" t="s">
        <v>153</v>
      </c>
      <c r="E257" s="5">
        <v>12</v>
      </c>
      <c r="F257" s="5">
        <v>12</v>
      </c>
      <c r="G257" s="149">
        <f>Q66</f>
        <v>48</v>
      </c>
      <c r="H257" s="16">
        <f t="shared" si="16"/>
        <v>0.58</v>
      </c>
      <c r="I257" s="16"/>
      <c r="J257" s="16"/>
      <c r="K257" s="16"/>
      <c r="L257" s="16"/>
      <c r="M257" s="45"/>
      <c r="N257" s="161"/>
      <c r="R257" s="21"/>
      <c r="S257" s="21"/>
      <c r="T257" s="21"/>
      <c r="U257" s="22"/>
    </row>
    <row r="258" spans="1:21" ht="14.25">
      <c r="A258" s="5"/>
      <c r="B258" s="5"/>
      <c r="C258" s="5"/>
      <c r="D258" s="5" t="s">
        <v>6</v>
      </c>
      <c r="E258" s="5">
        <v>13</v>
      </c>
      <c r="F258" s="5">
        <v>11</v>
      </c>
      <c r="G258" s="149">
        <f>Q24</f>
        <v>46</v>
      </c>
      <c r="H258" s="16">
        <f t="shared" si="16"/>
        <v>0.6</v>
      </c>
      <c r="I258" s="16"/>
      <c r="J258" s="16"/>
      <c r="K258" s="16"/>
      <c r="L258" s="16"/>
      <c r="M258" s="45"/>
      <c r="N258" s="161"/>
      <c r="R258" s="21"/>
      <c r="S258" s="21"/>
      <c r="T258" s="21"/>
      <c r="U258" s="22"/>
    </row>
    <row r="259" spans="1:21" ht="14.25">
      <c r="A259" s="5"/>
      <c r="B259" s="5"/>
      <c r="C259" s="5"/>
      <c r="D259" s="5" t="s">
        <v>11</v>
      </c>
      <c r="E259" s="5">
        <v>0.12</v>
      </c>
      <c r="F259" s="5">
        <v>0.12</v>
      </c>
      <c r="G259" s="16">
        <f>Q5</f>
        <v>9.5</v>
      </c>
      <c r="H259" s="16">
        <f>G259*E259</f>
        <v>1.14</v>
      </c>
      <c r="I259" s="16"/>
      <c r="J259" s="16"/>
      <c r="K259" s="16"/>
      <c r="L259" s="16"/>
      <c r="M259" s="45"/>
      <c r="N259" s="161"/>
      <c r="R259" s="21"/>
      <c r="S259" s="21"/>
      <c r="T259" s="21"/>
      <c r="U259" s="22"/>
    </row>
    <row r="260" spans="1:21" ht="14.25">
      <c r="A260" s="5"/>
      <c r="B260" s="5"/>
      <c r="C260" s="5"/>
      <c r="D260" s="5" t="s">
        <v>26</v>
      </c>
      <c r="E260" s="5">
        <v>5</v>
      </c>
      <c r="F260" s="5">
        <v>5</v>
      </c>
      <c r="G260" s="149">
        <f>Q39</f>
        <v>138</v>
      </c>
      <c r="H260" s="16">
        <f t="shared" si="16"/>
        <v>0.69</v>
      </c>
      <c r="I260" s="202">
        <v>14</v>
      </c>
      <c r="J260" s="202">
        <v>22.25</v>
      </c>
      <c r="K260" s="202">
        <v>14.13</v>
      </c>
      <c r="L260" s="202">
        <v>312.77</v>
      </c>
      <c r="M260" s="203">
        <v>658</v>
      </c>
      <c r="N260" s="161">
        <f>(I260+K260)*4+J260*9</f>
        <v>312.77</v>
      </c>
      <c r="R260" s="21"/>
      <c r="S260" s="21"/>
      <c r="T260" s="21"/>
      <c r="U260" s="22"/>
    </row>
    <row r="261" spans="1:21" ht="14.25">
      <c r="A261" s="5"/>
      <c r="B261" s="31" t="s">
        <v>141</v>
      </c>
      <c r="C261" s="5"/>
      <c r="D261" s="5" t="s">
        <v>9</v>
      </c>
      <c r="E261" s="5">
        <v>13</v>
      </c>
      <c r="F261" s="5">
        <v>13</v>
      </c>
      <c r="G261" s="149">
        <f>Q12</f>
        <v>182</v>
      </c>
      <c r="H261" s="16">
        <f t="shared" si="16"/>
        <v>2.37</v>
      </c>
      <c r="I261" s="16"/>
      <c r="J261" s="16"/>
      <c r="K261" s="16"/>
      <c r="L261" s="16"/>
      <c r="M261" s="45"/>
      <c r="N261" s="161"/>
      <c r="R261" s="21"/>
      <c r="S261" s="21"/>
      <c r="T261" s="21"/>
      <c r="U261" s="22"/>
    </row>
    <row r="262" spans="1:21" ht="14.25">
      <c r="A262" s="5"/>
      <c r="B262" s="5"/>
      <c r="C262" s="5"/>
      <c r="D262" s="5" t="s">
        <v>74</v>
      </c>
      <c r="E262" s="5">
        <v>4</v>
      </c>
      <c r="F262" s="5">
        <v>4</v>
      </c>
      <c r="G262" s="149">
        <f>Q45</f>
        <v>38</v>
      </c>
      <c r="H262" s="16">
        <f t="shared" si="16"/>
        <v>0.15</v>
      </c>
      <c r="I262" s="16"/>
      <c r="J262" s="16"/>
      <c r="K262" s="16"/>
      <c r="L262" s="16"/>
      <c r="M262" s="45"/>
      <c r="N262" s="161"/>
      <c r="R262" s="21"/>
      <c r="S262" s="21"/>
      <c r="T262" s="21"/>
      <c r="U262" s="22"/>
    </row>
    <row r="263" spans="1:21" ht="14.25">
      <c r="A263" s="5"/>
      <c r="B263" s="5"/>
      <c r="C263" s="5"/>
      <c r="D263" s="5" t="s">
        <v>27</v>
      </c>
      <c r="E263" s="5">
        <v>5</v>
      </c>
      <c r="F263" s="5">
        <v>5</v>
      </c>
      <c r="G263" s="149">
        <f>Q30</f>
        <v>123</v>
      </c>
      <c r="H263" s="16">
        <f>G263*E263/1000</f>
        <v>0.62</v>
      </c>
      <c r="I263" s="204">
        <v>0.88</v>
      </c>
      <c r="J263" s="204">
        <v>2.81</v>
      </c>
      <c r="K263" s="204">
        <v>3.51</v>
      </c>
      <c r="L263" s="202">
        <f>(I263+K263)*4+J263*9</f>
        <v>42.85</v>
      </c>
      <c r="M263" s="203">
        <v>355</v>
      </c>
      <c r="N263" s="161">
        <f>(I263+K263)*4+J263*9</f>
        <v>42.85</v>
      </c>
      <c r="R263" s="21"/>
      <c r="S263" s="21"/>
      <c r="T263" s="21"/>
      <c r="U263" s="22"/>
    </row>
    <row r="264" spans="1:14" ht="14.25">
      <c r="A264" s="5">
        <v>2</v>
      </c>
      <c r="B264" s="31" t="s">
        <v>155</v>
      </c>
      <c r="C264" s="5">
        <v>150</v>
      </c>
      <c r="D264" s="5" t="s">
        <v>159</v>
      </c>
      <c r="E264" s="5">
        <v>51</v>
      </c>
      <c r="F264" s="5">
        <v>51</v>
      </c>
      <c r="G264" s="5">
        <f>Q57</f>
        <v>43</v>
      </c>
      <c r="H264" s="16">
        <f t="shared" si="16"/>
        <v>2.19</v>
      </c>
      <c r="I264" s="78"/>
      <c r="J264" s="78"/>
      <c r="K264" s="78"/>
      <c r="L264" s="78"/>
      <c r="M264" s="45"/>
      <c r="N264" s="161"/>
    </row>
    <row r="265" spans="1:14" ht="14.25">
      <c r="A265" s="5"/>
      <c r="B265" s="31"/>
      <c r="C265" s="5"/>
      <c r="D265" s="5" t="s">
        <v>28</v>
      </c>
      <c r="E265" s="5">
        <v>6</v>
      </c>
      <c r="F265" s="5">
        <v>6</v>
      </c>
      <c r="G265" s="5">
        <f>Q11</f>
        <v>490</v>
      </c>
      <c r="H265" s="16">
        <f t="shared" si="16"/>
        <v>2.94</v>
      </c>
      <c r="I265" s="204">
        <v>5.76</v>
      </c>
      <c r="J265" s="204">
        <v>0.83</v>
      </c>
      <c r="K265" s="204">
        <v>31.14</v>
      </c>
      <c r="L265" s="202">
        <v>155.07</v>
      </c>
      <c r="M265" s="203">
        <v>753</v>
      </c>
      <c r="N265" s="161">
        <f>(I265+K265)*4+J265*9</f>
        <v>155.07</v>
      </c>
    </row>
    <row r="266" spans="1:14" ht="14.25">
      <c r="A266" s="5">
        <v>3</v>
      </c>
      <c r="B266" s="31" t="s">
        <v>163</v>
      </c>
      <c r="C266" s="5">
        <v>60</v>
      </c>
      <c r="D266" s="12" t="s">
        <v>101</v>
      </c>
      <c r="E266" s="19">
        <v>61</v>
      </c>
      <c r="F266" s="19">
        <v>55</v>
      </c>
      <c r="G266" s="5">
        <f>Q27</f>
        <v>70</v>
      </c>
      <c r="H266" s="16">
        <f t="shared" si="16"/>
        <v>4.27</v>
      </c>
      <c r="I266" s="204"/>
      <c r="J266" s="204"/>
      <c r="K266" s="204"/>
      <c r="L266" s="202"/>
      <c r="M266" s="203"/>
      <c r="N266" s="161"/>
    </row>
    <row r="267" spans="1:14" ht="14.25">
      <c r="A267" s="5"/>
      <c r="B267" s="31"/>
      <c r="C267" s="5"/>
      <c r="D267" s="12" t="s">
        <v>6</v>
      </c>
      <c r="E267" s="19">
        <v>12</v>
      </c>
      <c r="F267" s="19">
        <v>10</v>
      </c>
      <c r="G267" s="5">
        <f>Q24</f>
        <v>46</v>
      </c>
      <c r="H267" s="16">
        <f t="shared" si="16"/>
        <v>0.55</v>
      </c>
      <c r="I267" s="204"/>
      <c r="J267" s="204"/>
      <c r="K267" s="204"/>
      <c r="L267" s="202"/>
      <c r="M267" s="203"/>
      <c r="N267" s="161"/>
    </row>
    <row r="268" spans="1:14" ht="14.25">
      <c r="A268" s="5"/>
      <c r="B268" s="31"/>
      <c r="C268" s="5"/>
      <c r="D268" s="12" t="s">
        <v>26</v>
      </c>
      <c r="E268" s="19">
        <v>3</v>
      </c>
      <c r="F268" s="19">
        <v>3</v>
      </c>
      <c r="G268" s="5">
        <f>Q39</f>
        <v>138</v>
      </c>
      <c r="H268" s="16">
        <f t="shared" si="16"/>
        <v>0.41</v>
      </c>
      <c r="I268" s="78">
        <v>2.59</v>
      </c>
      <c r="J268" s="78">
        <v>7.3</v>
      </c>
      <c r="K268" s="78">
        <v>2.5</v>
      </c>
      <c r="L268" s="78">
        <v>86.06</v>
      </c>
      <c r="M268" s="203">
        <v>19</v>
      </c>
      <c r="N268" s="161">
        <f>(I268+K268)*4+J268*9</f>
        <v>86.06</v>
      </c>
    </row>
    <row r="269" spans="1:14" ht="14.25">
      <c r="A269" s="5">
        <v>4</v>
      </c>
      <c r="B269" s="3" t="s">
        <v>13</v>
      </c>
      <c r="C269" s="5">
        <v>200</v>
      </c>
      <c r="D269" s="5" t="s">
        <v>51</v>
      </c>
      <c r="E269" s="5">
        <v>1</v>
      </c>
      <c r="F269" s="5">
        <v>1</v>
      </c>
      <c r="G269" s="5">
        <f>Q64</f>
        <v>507</v>
      </c>
      <c r="H269" s="16">
        <f t="shared" si="16"/>
        <v>0.51</v>
      </c>
      <c r="I269" s="16"/>
      <c r="J269" s="16"/>
      <c r="K269" s="16"/>
      <c r="L269" s="16"/>
      <c r="M269" s="45"/>
      <c r="N269" s="161"/>
    </row>
    <row r="270" spans="1:14" ht="14.25">
      <c r="A270" s="5"/>
      <c r="B270" s="5"/>
      <c r="C270" s="5"/>
      <c r="D270" s="5" t="s">
        <v>2</v>
      </c>
      <c r="E270" s="5">
        <v>12.5</v>
      </c>
      <c r="F270" s="5">
        <v>12.5</v>
      </c>
      <c r="G270" s="5">
        <f>Q56</f>
        <v>85</v>
      </c>
      <c r="H270" s="16">
        <f t="shared" si="16"/>
        <v>1.06</v>
      </c>
      <c r="I270" s="78">
        <v>0.2</v>
      </c>
      <c r="J270" s="78">
        <v>0</v>
      </c>
      <c r="K270" s="78">
        <v>14</v>
      </c>
      <c r="L270" s="78">
        <v>56.8</v>
      </c>
      <c r="M270" s="45">
        <v>376</v>
      </c>
      <c r="N270" s="161">
        <f>(I270+K270)*4+J270*9</f>
        <v>56.8</v>
      </c>
    </row>
    <row r="271" spans="1:14" ht="14.25">
      <c r="A271" s="5">
        <v>5</v>
      </c>
      <c r="B271" s="31" t="s">
        <v>35</v>
      </c>
      <c r="C271" s="5">
        <v>50</v>
      </c>
      <c r="D271" s="5" t="s">
        <v>19</v>
      </c>
      <c r="E271" s="5">
        <v>50</v>
      </c>
      <c r="F271" s="5">
        <v>50</v>
      </c>
      <c r="G271" s="5">
        <f>Q66</f>
        <v>48</v>
      </c>
      <c r="H271" s="16">
        <f t="shared" si="16"/>
        <v>2.4</v>
      </c>
      <c r="I271" s="202">
        <v>3.06</v>
      </c>
      <c r="J271" s="202">
        <v>9.54</v>
      </c>
      <c r="K271" s="202">
        <v>18.28</v>
      </c>
      <c r="L271" s="202">
        <f>(I271+K271)*4+J271*9</f>
        <v>171.22</v>
      </c>
      <c r="M271" s="203"/>
      <c r="N271" s="161">
        <f>(I271+K271)*4+J271*9</f>
        <v>171.22</v>
      </c>
    </row>
    <row r="272" spans="1:14" ht="14.25">
      <c r="A272" s="5">
        <v>6</v>
      </c>
      <c r="B272" s="198" t="s">
        <v>137</v>
      </c>
      <c r="C272" s="5">
        <v>70</v>
      </c>
      <c r="D272" s="5" t="s">
        <v>138</v>
      </c>
      <c r="E272" s="34">
        <v>70</v>
      </c>
      <c r="F272" s="34"/>
      <c r="G272" s="5">
        <f>Q31</f>
        <v>112</v>
      </c>
      <c r="H272" s="16">
        <f t="shared" si="16"/>
        <v>7.84</v>
      </c>
      <c r="I272" s="202">
        <v>0.28</v>
      </c>
      <c r="J272" s="202">
        <v>0.28</v>
      </c>
      <c r="K272" s="202">
        <v>6.86</v>
      </c>
      <c r="L272" s="202">
        <v>31.08</v>
      </c>
      <c r="M272" s="203">
        <v>368</v>
      </c>
      <c r="N272" s="161">
        <f>(I272+K272)*4+J272*9</f>
        <v>31.08</v>
      </c>
    </row>
    <row r="273" spans="1:14" ht="14.25">
      <c r="A273" s="5"/>
      <c r="B273" s="5"/>
      <c r="C273" s="5"/>
      <c r="D273" s="5" t="s">
        <v>170</v>
      </c>
      <c r="E273" s="5">
        <v>3</v>
      </c>
      <c r="F273" s="5">
        <v>3</v>
      </c>
      <c r="G273" s="5">
        <f>Q60</f>
        <v>24</v>
      </c>
      <c r="H273" s="16">
        <f t="shared" si="16"/>
        <v>0.07</v>
      </c>
      <c r="I273" s="16"/>
      <c r="J273" s="16"/>
      <c r="K273" s="16"/>
      <c r="L273" s="16"/>
      <c r="M273" s="45"/>
      <c r="N273" s="161"/>
    </row>
    <row r="274" spans="1:14" ht="15">
      <c r="A274" s="5"/>
      <c r="B274" s="5"/>
      <c r="C274" s="209">
        <v>670</v>
      </c>
      <c r="D274" s="5"/>
      <c r="E274" s="5"/>
      <c r="F274" s="5"/>
      <c r="G274" s="34"/>
      <c r="H274" s="69">
        <f>SUM(H255:H273)</f>
        <v>68.47</v>
      </c>
      <c r="I274" s="69">
        <f>SUM(I255:I273)</f>
        <v>26.77</v>
      </c>
      <c r="J274" s="69">
        <f>SUM(J255:J273)</f>
        <v>43.01</v>
      </c>
      <c r="K274" s="69">
        <f>SUM(K255:K273)</f>
        <v>90.42</v>
      </c>
      <c r="L274" s="69">
        <f>SUM(L255:L273)</f>
        <v>855.85</v>
      </c>
      <c r="M274" s="152"/>
      <c r="N274" s="161">
        <f>(I274+K274)*4+J274*9</f>
        <v>855.85</v>
      </c>
    </row>
    <row r="275" spans="1:14" s="71" customFormat="1" ht="15">
      <c r="A275" s="34"/>
      <c r="B275" s="240" t="s">
        <v>145</v>
      </c>
      <c r="C275" s="241"/>
      <c r="D275" s="241"/>
      <c r="E275" s="34"/>
      <c r="F275" s="34"/>
      <c r="G275" s="34"/>
      <c r="H275" s="78"/>
      <c r="I275" s="78"/>
      <c r="J275" s="78"/>
      <c r="K275" s="78"/>
      <c r="L275" s="78"/>
      <c r="M275" s="45"/>
      <c r="N275" s="197"/>
    </row>
    <row r="276" spans="1:14" ht="14.25">
      <c r="A276" s="5">
        <v>1</v>
      </c>
      <c r="B276" s="3" t="s">
        <v>127</v>
      </c>
      <c r="C276" s="34" t="s">
        <v>191</v>
      </c>
      <c r="D276" s="8" t="s">
        <v>7</v>
      </c>
      <c r="E276" s="5">
        <v>100</v>
      </c>
      <c r="F276" s="5">
        <v>60</v>
      </c>
      <c r="G276" s="5">
        <f>Q22</f>
        <v>57</v>
      </c>
      <c r="H276" s="16">
        <f aca="true" t="shared" si="17" ref="H276:H288">G276*E276/1000</f>
        <v>5.7</v>
      </c>
      <c r="I276" s="16"/>
      <c r="J276" s="16"/>
      <c r="K276" s="16"/>
      <c r="L276" s="16"/>
      <c r="M276" s="45"/>
      <c r="N276" s="161"/>
    </row>
    <row r="277" spans="1:14" ht="14.25">
      <c r="A277" s="5"/>
      <c r="B277" s="3" t="s">
        <v>160</v>
      </c>
      <c r="C277" s="5"/>
      <c r="D277" s="5" t="s">
        <v>128</v>
      </c>
      <c r="E277" s="5">
        <v>8</v>
      </c>
      <c r="F277" s="5">
        <v>8</v>
      </c>
      <c r="G277" s="5">
        <f>Q53</f>
        <v>51</v>
      </c>
      <c r="H277" s="16">
        <f t="shared" si="17"/>
        <v>0.41</v>
      </c>
      <c r="I277" s="16"/>
      <c r="J277" s="16"/>
      <c r="K277" s="16"/>
      <c r="L277" s="16"/>
      <c r="M277" s="45"/>
      <c r="N277" s="161"/>
    </row>
    <row r="278" spans="1:20" ht="14.25">
      <c r="A278" s="5"/>
      <c r="B278" s="3"/>
      <c r="C278" s="5"/>
      <c r="D278" s="5" t="s">
        <v>8</v>
      </c>
      <c r="E278" s="5">
        <v>10</v>
      </c>
      <c r="F278" s="5">
        <v>8</v>
      </c>
      <c r="G278" s="34">
        <f>Q25</f>
        <v>66</v>
      </c>
      <c r="H278" s="16">
        <f t="shared" si="17"/>
        <v>0.66</v>
      </c>
      <c r="I278" s="16"/>
      <c r="J278" s="16"/>
      <c r="K278" s="16"/>
      <c r="L278" s="16"/>
      <c r="M278" s="45"/>
      <c r="N278" s="161"/>
      <c r="R278" s="21"/>
      <c r="S278" s="36"/>
      <c r="T278" s="22"/>
    </row>
    <row r="279" spans="1:14" ht="14.25">
      <c r="A279" s="5"/>
      <c r="B279" s="3"/>
      <c r="C279" s="5"/>
      <c r="D279" s="5" t="s">
        <v>6</v>
      </c>
      <c r="E279" s="5">
        <v>10</v>
      </c>
      <c r="F279" s="5">
        <v>9</v>
      </c>
      <c r="G279" s="34">
        <f>Q24</f>
        <v>46</v>
      </c>
      <c r="H279" s="16">
        <f t="shared" si="17"/>
        <v>0.46</v>
      </c>
      <c r="I279" s="16"/>
      <c r="J279" s="16"/>
      <c r="K279" s="16"/>
      <c r="L279" s="16"/>
      <c r="M279" s="45"/>
      <c r="N279" s="161"/>
    </row>
    <row r="280" spans="1:14" ht="14.25">
      <c r="A280" s="5"/>
      <c r="B280" s="3"/>
      <c r="C280" s="5"/>
      <c r="D280" s="5" t="s">
        <v>101</v>
      </c>
      <c r="E280" s="5">
        <v>20</v>
      </c>
      <c r="F280" s="5">
        <v>14</v>
      </c>
      <c r="G280" s="34">
        <f>Q27</f>
        <v>70</v>
      </c>
      <c r="H280" s="16">
        <f t="shared" si="17"/>
        <v>1.4</v>
      </c>
      <c r="I280" s="16"/>
      <c r="J280" s="16"/>
      <c r="K280" s="16"/>
      <c r="L280" s="16"/>
      <c r="M280" s="45"/>
      <c r="N280" s="161"/>
    </row>
    <row r="281" spans="1:14" ht="14.25">
      <c r="A281" s="5"/>
      <c r="B281" s="3"/>
      <c r="C281" s="5"/>
      <c r="D281" s="5" t="s">
        <v>26</v>
      </c>
      <c r="E281" s="5">
        <v>4</v>
      </c>
      <c r="F281" s="5">
        <v>4</v>
      </c>
      <c r="G281" s="34">
        <f>Q39</f>
        <v>138</v>
      </c>
      <c r="H281" s="16">
        <f t="shared" si="17"/>
        <v>0.55</v>
      </c>
      <c r="I281" s="176">
        <v>2.54</v>
      </c>
      <c r="J281" s="176">
        <v>4.35</v>
      </c>
      <c r="K281" s="176">
        <v>17.18</v>
      </c>
      <c r="L281" s="176">
        <v>118.03</v>
      </c>
      <c r="M281" s="45">
        <v>208</v>
      </c>
      <c r="N281" s="161">
        <f>(I281+K281)*4+J281*9</f>
        <v>118.03</v>
      </c>
    </row>
    <row r="282" spans="1:14" ht="14.25">
      <c r="A282" s="5"/>
      <c r="B282" s="3"/>
      <c r="C282" s="5"/>
      <c r="D282" s="8" t="s">
        <v>9</v>
      </c>
      <c r="E282" s="5">
        <v>10</v>
      </c>
      <c r="F282" s="5">
        <v>10</v>
      </c>
      <c r="G282" s="34">
        <f>Q12</f>
        <v>182</v>
      </c>
      <c r="H282" s="16">
        <f t="shared" si="17"/>
        <v>1.82</v>
      </c>
      <c r="I282" s="176">
        <v>0.22</v>
      </c>
      <c r="J282" s="176">
        <v>2.82</v>
      </c>
      <c r="K282" s="176">
        <v>0.32</v>
      </c>
      <c r="L282" s="176">
        <v>27.54</v>
      </c>
      <c r="M282" s="45"/>
      <c r="N282" s="161">
        <f>(I282+K282)*4+J282*9</f>
        <v>27.54</v>
      </c>
    </row>
    <row r="283" spans="1:14" ht="14.25">
      <c r="A283" s="5">
        <v>2</v>
      </c>
      <c r="B283" s="31" t="s">
        <v>156</v>
      </c>
      <c r="C283" s="34" t="s">
        <v>219</v>
      </c>
      <c r="D283" s="5" t="s">
        <v>16</v>
      </c>
      <c r="E283" s="5">
        <v>53</v>
      </c>
      <c r="F283" s="5">
        <v>53</v>
      </c>
      <c r="G283" s="34">
        <f>Q6</f>
        <v>607</v>
      </c>
      <c r="H283" s="16">
        <f t="shared" si="17"/>
        <v>32.17</v>
      </c>
      <c r="I283" s="16"/>
      <c r="J283" s="16"/>
      <c r="K283" s="16"/>
      <c r="L283" s="16"/>
      <c r="M283" s="45"/>
      <c r="N283" s="161"/>
    </row>
    <row r="284" spans="1:14" ht="14.25">
      <c r="A284" s="5"/>
      <c r="B284" s="5"/>
      <c r="C284" s="5"/>
      <c r="D284" s="5" t="s">
        <v>19</v>
      </c>
      <c r="E284" s="5">
        <v>13</v>
      </c>
      <c r="F284" s="5">
        <v>13</v>
      </c>
      <c r="G284" s="34">
        <f>Q66</f>
        <v>48</v>
      </c>
      <c r="H284" s="16">
        <f t="shared" si="17"/>
        <v>0.62</v>
      </c>
      <c r="I284" s="16"/>
      <c r="J284" s="16"/>
      <c r="K284" s="16"/>
      <c r="L284" s="16"/>
      <c r="M284" s="45"/>
      <c r="N284" s="161"/>
    </row>
    <row r="285" spans="1:14" ht="14.25">
      <c r="A285" s="5"/>
      <c r="B285" s="5"/>
      <c r="C285" s="5"/>
      <c r="D285" s="5" t="s">
        <v>153</v>
      </c>
      <c r="E285" s="5">
        <v>12</v>
      </c>
      <c r="F285" s="5">
        <v>12</v>
      </c>
      <c r="G285" s="34">
        <f>Q66</f>
        <v>48</v>
      </c>
      <c r="H285" s="16">
        <f t="shared" si="17"/>
        <v>0.58</v>
      </c>
      <c r="I285" s="16"/>
      <c r="J285" s="16"/>
      <c r="K285" s="16"/>
      <c r="L285" s="16"/>
      <c r="M285" s="45"/>
      <c r="N285" s="161"/>
    </row>
    <row r="286" spans="1:14" ht="14.25">
      <c r="A286" s="5"/>
      <c r="B286" s="5"/>
      <c r="C286" s="5"/>
      <c r="D286" s="5" t="s">
        <v>6</v>
      </c>
      <c r="E286" s="5">
        <v>12</v>
      </c>
      <c r="F286" s="5">
        <v>10</v>
      </c>
      <c r="G286" s="34">
        <f>Q24</f>
        <v>46</v>
      </c>
      <c r="H286" s="16">
        <f t="shared" si="17"/>
        <v>0.55</v>
      </c>
      <c r="I286" s="16"/>
      <c r="J286" s="16"/>
      <c r="K286" s="16"/>
      <c r="L286" s="16"/>
      <c r="M286" s="45"/>
      <c r="N286" s="161"/>
    </row>
    <row r="287" spans="1:14" ht="14.25">
      <c r="A287" s="5"/>
      <c r="B287" s="5"/>
      <c r="C287" s="5"/>
      <c r="D287" s="5" t="s">
        <v>11</v>
      </c>
      <c r="E287" s="5">
        <v>0.12</v>
      </c>
      <c r="F287" s="5">
        <v>0.12</v>
      </c>
      <c r="G287" s="78">
        <f>Q5</f>
        <v>9.5</v>
      </c>
      <c r="H287" s="16">
        <f>G287*E287</f>
        <v>1.14</v>
      </c>
      <c r="I287" s="16"/>
      <c r="J287" s="16"/>
      <c r="K287" s="16"/>
      <c r="L287" s="16"/>
      <c r="M287" s="45"/>
      <c r="N287" s="161"/>
    </row>
    <row r="288" spans="1:14" ht="14.25">
      <c r="A288" s="5"/>
      <c r="B288" s="5"/>
      <c r="C288" s="5"/>
      <c r="D288" s="5" t="s">
        <v>26</v>
      </c>
      <c r="E288" s="5">
        <v>4</v>
      </c>
      <c r="F288" s="5">
        <v>4</v>
      </c>
      <c r="G288" s="34">
        <f>Q39</f>
        <v>138</v>
      </c>
      <c r="H288" s="16">
        <f t="shared" si="17"/>
        <v>0.55</v>
      </c>
      <c r="I288" s="202">
        <v>10.89</v>
      </c>
      <c r="J288" s="202">
        <v>17.31</v>
      </c>
      <c r="K288" s="202">
        <v>11</v>
      </c>
      <c r="L288" s="202">
        <v>243.35</v>
      </c>
      <c r="M288" s="203">
        <v>658</v>
      </c>
      <c r="N288" s="161">
        <f>(I288+K288)*4+J288*9</f>
        <v>243.35</v>
      </c>
    </row>
    <row r="289" spans="1:15" ht="15">
      <c r="A289" s="5"/>
      <c r="B289" s="31" t="s">
        <v>141</v>
      </c>
      <c r="C289" s="5"/>
      <c r="D289" s="5" t="s">
        <v>9</v>
      </c>
      <c r="E289" s="5">
        <v>13</v>
      </c>
      <c r="F289" s="5">
        <v>13</v>
      </c>
      <c r="G289" s="5">
        <f>Q12</f>
        <v>182</v>
      </c>
      <c r="H289" s="16">
        <f>E289*G289/1000</f>
        <v>2.37</v>
      </c>
      <c r="I289" s="16"/>
      <c r="J289" s="16"/>
      <c r="K289" s="16"/>
      <c r="L289" s="16"/>
      <c r="M289" s="45"/>
      <c r="N289" s="161"/>
      <c r="O289" s="40"/>
    </row>
    <row r="290" spans="1:15" ht="15">
      <c r="A290" s="5"/>
      <c r="B290" s="5"/>
      <c r="C290" s="5"/>
      <c r="D290" s="5" t="s">
        <v>74</v>
      </c>
      <c r="E290" s="5">
        <v>4</v>
      </c>
      <c r="F290" s="5">
        <v>4</v>
      </c>
      <c r="G290" s="5">
        <f>Q45</f>
        <v>38</v>
      </c>
      <c r="H290" s="16">
        <f>E290*G290/1000</f>
        <v>0.15</v>
      </c>
      <c r="I290" s="16"/>
      <c r="J290" s="16"/>
      <c r="K290" s="16"/>
      <c r="L290" s="16"/>
      <c r="M290" s="45"/>
      <c r="N290" s="161"/>
      <c r="O290" s="40"/>
    </row>
    <row r="291" spans="1:14" ht="14.25">
      <c r="A291" s="5"/>
      <c r="B291" s="5"/>
      <c r="C291" s="5"/>
      <c r="D291" s="5" t="s">
        <v>18</v>
      </c>
      <c r="E291" s="5">
        <v>5</v>
      </c>
      <c r="F291" s="5">
        <v>5</v>
      </c>
      <c r="G291" s="5">
        <f>Q30</f>
        <v>123</v>
      </c>
      <c r="H291" s="16">
        <f>G291*E291/1000</f>
        <v>0.62</v>
      </c>
      <c r="I291" s="204">
        <v>0.88</v>
      </c>
      <c r="J291" s="204">
        <v>2.81</v>
      </c>
      <c r="K291" s="204">
        <v>3.51</v>
      </c>
      <c r="L291" s="202">
        <f>(I291+K291)*4+J291*9</f>
        <v>42.85</v>
      </c>
      <c r="M291" s="203">
        <v>355</v>
      </c>
      <c r="N291" s="161">
        <f>(I291+K291)*4+J291*9</f>
        <v>42.85</v>
      </c>
    </row>
    <row r="292" spans="1:14" ht="14.25">
      <c r="A292" s="5">
        <v>3</v>
      </c>
      <c r="B292" s="31" t="s">
        <v>155</v>
      </c>
      <c r="C292" s="5">
        <v>150</v>
      </c>
      <c r="D292" s="5" t="s">
        <v>22</v>
      </c>
      <c r="E292" s="5">
        <v>51</v>
      </c>
      <c r="F292" s="5">
        <v>51</v>
      </c>
      <c r="G292" s="5">
        <f>Q57</f>
        <v>43</v>
      </c>
      <c r="H292" s="16">
        <f>G292*E292/1000</f>
        <v>2.19</v>
      </c>
      <c r="I292" s="78"/>
      <c r="J292" s="78"/>
      <c r="K292" s="78"/>
      <c r="L292" s="78"/>
      <c r="M292" s="45"/>
      <c r="N292" s="161"/>
    </row>
    <row r="293" spans="1:14" ht="14.25">
      <c r="A293" s="5"/>
      <c r="B293" s="94"/>
      <c r="C293" s="94"/>
      <c r="D293" s="5" t="s">
        <v>28</v>
      </c>
      <c r="E293" s="5">
        <v>6</v>
      </c>
      <c r="F293" s="5">
        <v>6</v>
      </c>
      <c r="G293" s="5">
        <f>Q11</f>
        <v>490</v>
      </c>
      <c r="H293" s="16">
        <f>G293*E293/1000</f>
        <v>2.94</v>
      </c>
      <c r="I293" s="204">
        <v>5.76</v>
      </c>
      <c r="J293" s="204">
        <v>0.83</v>
      </c>
      <c r="K293" s="204">
        <v>31.14</v>
      </c>
      <c r="L293" s="202">
        <v>155.07</v>
      </c>
      <c r="M293" s="203">
        <v>753</v>
      </c>
      <c r="N293" s="161">
        <f>(I293+K293)*4+J293*9</f>
        <v>155.07</v>
      </c>
    </row>
    <row r="294" spans="1:14" ht="14.25">
      <c r="A294" s="5">
        <v>4</v>
      </c>
      <c r="B294" s="31" t="s">
        <v>35</v>
      </c>
      <c r="C294" s="15">
        <v>50</v>
      </c>
      <c r="D294" s="5" t="s">
        <v>19</v>
      </c>
      <c r="E294" s="5">
        <v>50</v>
      </c>
      <c r="F294" s="5">
        <v>50</v>
      </c>
      <c r="G294" s="34">
        <f>Q66</f>
        <v>48</v>
      </c>
      <c r="H294" s="16">
        <f>E294*G294/1000</f>
        <v>2.4</v>
      </c>
      <c r="I294" s="202">
        <v>3.06</v>
      </c>
      <c r="J294" s="202">
        <v>9.54</v>
      </c>
      <c r="K294" s="202">
        <v>18.28</v>
      </c>
      <c r="L294" s="202">
        <f>(I294+K294)*4+J294*9</f>
        <v>171.22</v>
      </c>
      <c r="M294" s="203">
        <v>1</v>
      </c>
      <c r="N294" s="161">
        <f>(I294+K294)*4+J294*9</f>
        <v>171.22</v>
      </c>
    </row>
    <row r="295" spans="1:14" ht="14.25">
      <c r="A295" s="5">
        <v>5</v>
      </c>
      <c r="B295" s="31" t="s">
        <v>25</v>
      </c>
      <c r="C295" s="5">
        <v>200</v>
      </c>
      <c r="D295" s="5" t="s">
        <v>20</v>
      </c>
      <c r="E295" s="5">
        <v>14</v>
      </c>
      <c r="F295" s="5">
        <v>14</v>
      </c>
      <c r="G295" s="34">
        <f>Q35</f>
        <v>148</v>
      </c>
      <c r="H295" s="16">
        <f>E295*G295/1000</f>
        <v>2.07</v>
      </c>
      <c r="I295" s="16"/>
      <c r="J295" s="16"/>
      <c r="K295" s="16"/>
      <c r="L295" s="16"/>
      <c r="M295" s="45"/>
      <c r="N295" s="161"/>
    </row>
    <row r="296" spans="1:14" ht="14.25">
      <c r="A296" s="5"/>
      <c r="B296" s="5"/>
      <c r="C296" s="5"/>
      <c r="D296" s="5" t="s">
        <v>2</v>
      </c>
      <c r="E296" s="5">
        <v>14</v>
      </c>
      <c r="F296" s="5">
        <v>14</v>
      </c>
      <c r="G296" s="34">
        <f>Q56</f>
        <v>85</v>
      </c>
      <c r="H296" s="16">
        <f>E296*G296/1000</f>
        <v>1.19</v>
      </c>
      <c r="I296" s="205">
        <v>0.04</v>
      </c>
      <c r="J296" s="205">
        <v>0</v>
      </c>
      <c r="K296" s="205">
        <v>24.76</v>
      </c>
      <c r="L296" s="202">
        <f>(I296+K296)*4+J296*9</f>
        <v>99.2</v>
      </c>
      <c r="M296" s="203">
        <v>349</v>
      </c>
      <c r="N296" s="161">
        <f>(I296+K296)*4+J296*9</f>
        <v>99.2</v>
      </c>
    </row>
    <row r="297" spans="1:14" ht="14.25">
      <c r="A297" s="5"/>
      <c r="B297" s="14"/>
      <c r="C297" s="5"/>
      <c r="D297" s="5" t="s">
        <v>102</v>
      </c>
      <c r="E297" s="34">
        <v>0.0005</v>
      </c>
      <c r="F297" s="34">
        <v>0.0005</v>
      </c>
      <c r="G297" s="34"/>
      <c r="H297" s="16"/>
      <c r="I297" s="5"/>
      <c r="J297" s="5"/>
      <c r="K297" s="5"/>
      <c r="L297" s="5"/>
      <c r="M297" s="45"/>
      <c r="N297" s="161"/>
    </row>
    <row r="298" spans="1:14" ht="14.25">
      <c r="A298" s="5">
        <v>6</v>
      </c>
      <c r="B298" s="198" t="s">
        <v>137</v>
      </c>
      <c r="C298" s="5">
        <v>70</v>
      </c>
      <c r="D298" s="5" t="s">
        <v>138</v>
      </c>
      <c r="E298" s="34">
        <v>70</v>
      </c>
      <c r="F298" s="34"/>
      <c r="G298" s="34">
        <f>Q31</f>
        <v>112</v>
      </c>
      <c r="H298" s="16">
        <f>E298*G298/1000</f>
        <v>7.84</v>
      </c>
      <c r="I298" s="202">
        <v>0.28</v>
      </c>
      <c r="J298" s="202">
        <v>0.28</v>
      </c>
      <c r="K298" s="202">
        <v>6.86</v>
      </c>
      <c r="L298" s="202">
        <v>31.08</v>
      </c>
      <c r="M298" s="203">
        <v>368</v>
      </c>
      <c r="N298" s="161">
        <f>(I298+K298)*4+J298*9</f>
        <v>31.08</v>
      </c>
    </row>
    <row r="299" spans="1:14" ht="14.25">
      <c r="A299" s="5"/>
      <c r="B299" s="14"/>
      <c r="C299" s="5"/>
      <c r="D299" s="5" t="s">
        <v>170</v>
      </c>
      <c r="E299" s="5">
        <v>3.5</v>
      </c>
      <c r="F299" s="5">
        <v>3.5</v>
      </c>
      <c r="G299" s="5">
        <f>Q60</f>
        <v>24</v>
      </c>
      <c r="H299" s="16">
        <f>E299*G299/1000</f>
        <v>0.08</v>
      </c>
      <c r="I299" s="16"/>
      <c r="J299" s="16"/>
      <c r="K299" s="16"/>
      <c r="L299" s="16"/>
      <c r="M299" s="45"/>
      <c r="N299" s="161"/>
    </row>
    <row r="300" spans="1:14" ht="14.25">
      <c r="A300" s="5"/>
      <c r="B300" s="14"/>
      <c r="C300" s="5"/>
      <c r="D300" s="5" t="s">
        <v>94</v>
      </c>
      <c r="E300" s="5">
        <v>0.02</v>
      </c>
      <c r="F300" s="5">
        <v>0.02</v>
      </c>
      <c r="G300" s="5">
        <f>Q65</f>
        <v>483</v>
      </c>
      <c r="H300" s="16">
        <f>E300*G300/1000</f>
        <v>0.01</v>
      </c>
      <c r="I300" s="16"/>
      <c r="J300" s="16"/>
      <c r="K300" s="16"/>
      <c r="L300" s="16"/>
      <c r="M300" s="45"/>
      <c r="N300" s="161"/>
    </row>
    <row r="301" spans="1:14" ht="15">
      <c r="A301" s="5"/>
      <c r="B301" s="14"/>
      <c r="C301" s="209">
        <v>800</v>
      </c>
      <c r="D301" s="14"/>
      <c r="E301" s="5"/>
      <c r="F301" s="5"/>
      <c r="G301" s="39"/>
      <c r="H301" s="69">
        <f>SUM(H276:H300)</f>
        <v>68.47</v>
      </c>
      <c r="I301" s="69">
        <f>SUM(I276:I300)</f>
        <v>23.67</v>
      </c>
      <c r="J301" s="69">
        <f>SUM(J276:J300)</f>
        <v>37.94</v>
      </c>
      <c r="K301" s="69">
        <f>SUM(K276:K300)</f>
        <v>113.05</v>
      </c>
      <c r="L301" s="69">
        <f>SUM(L276:L300)</f>
        <v>888.34</v>
      </c>
      <c r="M301" s="152"/>
      <c r="N301" s="161">
        <f>(I301+K301)*4+J301*9</f>
        <v>888.34</v>
      </c>
    </row>
    <row r="302" spans="1:14" ht="15">
      <c r="A302" s="21"/>
      <c r="B302" s="20"/>
      <c r="C302" s="21"/>
      <c r="D302" s="20"/>
      <c r="E302" s="21"/>
      <c r="F302" s="21"/>
      <c r="G302" s="148"/>
      <c r="H302" s="93"/>
      <c r="I302" s="93"/>
      <c r="J302" s="93"/>
      <c r="K302" s="93"/>
      <c r="L302" s="93"/>
      <c r="M302" s="153"/>
      <c r="N302" s="161"/>
    </row>
    <row r="303" spans="1:14" ht="15">
      <c r="A303" s="27"/>
      <c r="B303" s="75"/>
      <c r="C303" s="27"/>
      <c r="D303" s="27"/>
      <c r="N303" s="161"/>
    </row>
    <row r="304" spans="1:14" s="71" customFormat="1" ht="15">
      <c r="A304" s="231"/>
      <c r="B304" s="75" t="s">
        <v>39</v>
      </c>
      <c r="C304" s="146"/>
      <c r="D304" s="231"/>
      <c r="M304" s="162"/>
      <c r="N304" s="197"/>
    </row>
    <row r="305" spans="1:14" ht="28.5">
      <c r="A305" s="247" t="s">
        <v>3</v>
      </c>
      <c r="B305" s="8"/>
      <c r="C305" s="8" t="s">
        <v>4</v>
      </c>
      <c r="D305" s="247" t="s">
        <v>29</v>
      </c>
      <c r="E305" s="101" t="s">
        <v>12</v>
      </c>
      <c r="F305" s="101" t="s">
        <v>57</v>
      </c>
      <c r="G305" s="101" t="s">
        <v>30</v>
      </c>
      <c r="H305" s="101" t="s">
        <v>31</v>
      </c>
      <c r="I305" s="250" t="s">
        <v>70</v>
      </c>
      <c r="J305" s="250" t="s">
        <v>71</v>
      </c>
      <c r="K305" s="250" t="s">
        <v>72</v>
      </c>
      <c r="L305" s="250" t="s">
        <v>73</v>
      </c>
      <c r="M305" s="245" t="s">
        <v>150</v>
      </c>
      <c r="N305" s="161"/>
    </row>
    <row r="306" spans="1:14" ht="15">
      <c r="A306" s="252"/>
      <c r="B306" s="72" t="s">
        <v>144</v>
      </c>
      <c r="C306" s="8" t="s">
        <v>32</v>
      </c>
      <c r="D306" s="251"/>
      <c r="E306" s="5" t="s">
        <v>32</v>
      </c>
      <c r="F306" s="5" t="s">
        <v>32</v>
      </c>
      <c r="G306" s="5" t="s">
        <v>33</v>
      </c>
      <c r="H306" s="5" t="s">
        <v>34</v>
      </c>
      <c r="I306" s="254"/>
      <c r="J306" s="254"/>
      <c r="K306" s="254"/>
      <c r="L306" s="254"/>
      <c r="M306" s="256"/>
      <c r="N306" s="161"/>
    </row>
    <row r="307" spans="1:14" ht="14.25">
      <c r="A307" s="5">
        <v>1</v>
      </c>
      <c r="B307" s="11" t="s">
        <v>84</v>
      </c>
      <c r="C307" s="12">
        <v>240</v>
      </c>
      <c r="D307" s="12" t="s">
        <v>76</v>
      </c>
      <c r="E307" s="19">
        <v>134</v>
      </c>
      <c r="F307" s="19">
        <v>120</v>
      </c>
      <c r="G307" s="5">
        <f>Q7</f>
        <v>257</v>
      </c>
      <c r="H307" s="16">
        <f aca="true" t="shared" si="18" ref="H307:H320">G307*E307/1000</f>
        <v>34.44</v>
      </c>
      <c r="I307" s="111"/>
      <c r="J307" s="111"/>
      <c r="K307" s="111"/>
      <c r="L307" s="111"/>
      <c r="M307" s="165"/>
      <c r="N307" s="161"/>
    </row>
    <row r="308" spans="1:14" ht="14.25">
      <c r="A308" s="2"/>
      <c r="B308" s="11"/>
      <c r="C308" s="13"/>
      <c r="D308" s="12" t="s">
        <v>26</v>
      </c>
      <c r="E308" s="19">
        <v>10</v>
      </c>
      <c r="F308" s="19">
        <v>10</v>
      </c>
      <c r="G308" s="184">
        <f>Q39</f>
        <v>138</v>
      </c>
      <c r="H308" s="16">
        <f>G308*E308/1000</f>
        <v>1.38</v>
      </c>
      <c r="I308" s="111"/>
      <c r="J308" s="111"/>
      <c r="K308" s="111"/>
      <c r="L308" s="111"/>
      <c r="M308" s="165"/>
      <c r="N308" s="161"/>
    </row>
    <row r="309" spans="1:14" ht="14.25">
      <c r="A309" s="2"/>
      <c r="B309" s="11"/>
      <c r="C309" s="13"/>
      <c r="D309" s="12" t="s">
        <v>24</v>
      </c>
      <c r="E309" s="19">
        <v>15</v>
      </c>
      <c r="F309" s="19">
        <v>13</v>
      </c>
      <c r="G309" s="184">
        <f>Q24</f>
        <v>46</v>
      </c>
      <c r="H309" s="16">
        <f>G309*E309/1000</f>
        <v>0.69</v>
      </c>
      <c r="I309" s="16"/>
      <c r="J309" s="16"/>
      <c r="K309" s="16"/>
      <c r="L309" s="16"/>
      <c r="M309" s="45"/>
      <c r="N309" s="161"/>
    </row>
    <row r="310" spans="1:14" ht="14.25">
      <c r="A310" s="2"/>
      <c r="B310" s="11"/>
      <c r="C310" s="12"/>
      <c r="D310" s="12" t="s">
        <v>8</v>
      </c>
      <c r="E310" s="19">
        <v>15</v>
      </c>
      <c r="F310" s="19">
        <v>12</v>
      </c>
      <c r="G310" s="184">
        <f>Q25</f>
        <v>66</v>
      </c>
      <c r="H310" s="16">
        <f>G310*E310/1000</f>
        <v>0.99</v>
      </c>
      <c r="I310" s="16"/>
      <c r="J310" s="16"/>
      <c r="K310" s="16"/>
      <c r="L310" s="16"/>
      <c r="M310" s="45"/>
      <c r="N310" s="161"/>
    </row>
    <row r="311" spans="1:14" ht="14.25">
      <c r="A311" s="2"/>
      <c r="B311" s="11"/>
      <c r="C311" s="12"/>
      <c r="D311" s="12" t="s">
        <v>18</v>
      </c>
      <c r="E311" s="19">
        <v>2</v>
      </c>
      <c r="F311" s="19">
        <v>2</v>
      </c>
      <c r="G311" s="5">
        <f>Q30</f>
        <v>123</v>
      </c>
      <c r="H311" s="16">
        <f t="shared" si="18"/>
        <v>0.25</v>
      </c>
      <c r="I311" s="16"/>
      <c r="J311" s="16"/>
      <c r="K311" s="16"/>
      <c r="L311" s="16"/>
      <c r="M311" s="45"/>
      <c r="N311" s="161"/>
    </row>
    <row r="312" spans="1:14" ht="14.25">
      <c r="A312" s="2"/>
      <c r="B312" s="11"/>
      <c r="C312" s="12"/>
      <c r="D312" s="12" t="s">
        <v>1</v>
      </c>
      <c r="E312" s="19">
        <v>54</v>
      </c>
      <c r="F312" s="19">
        <v>54</v>
      </c>
      <c r="G312" s="5">
        <f>Q49</f>
        <v>98</v>
      </c>
      <c r="H312" s="16">
        <f t="shared" si="18"/>
        <v>5.29</v>
      </c>
      <c r="I312" s="78">
        <v>26.9</v>
      </c>
      <c r="J312" s="78">
        <v>22.56</v>
      </c>
      <c r="K312" s="78">
        <v>47.35</v>
      </c>
      <c r="L312" s="78">
        <v>500.04</v>
      </c>
      <c r="M312" s="45">
        <v>705</v>
      </c>
      <c r="N312" s="161">
        <f>(I312+K312)*4+J312*9</f>
        <v>500.04</v>
      </c>
    </row>
    <row r="313" spans="1:14" ht="14.25">
      <c r="A313" s="15">
        <v>2</v>
      </c>
      <c r="B313" s="11" t="s">
        <v>168</v>
      </c>
      <c r="C313" s="12">
        <v>60</v>
      </c>
      <c r="D313" s="12" t="s">
        <v>15</v>
      </c>
      <c r="E313" s="19">
        <v>72</v>
      </c>
      <c r="F313" s="19">
        <v>56</v>
      </c>
      <c r="G313" s="5">
        <f>Q26</f>
        <v>45</v>
      </c>
      <c r="H313" s="16">
        <f t="shared" si="18"/>
        <v>3.24</v>
      </c>
      <c r="I313" s="78"/>
      <c r="J313" s="78"/>
      <c r="K313" s="78"/>
      <c r="L313" s="78"/>
      <c r="M313" s="45"/>
      <c r="N313" s="161"/>
    </row>
    <row r="314" spans="1:14" ht="14.25">
      <c r="A314" s="159"/>
      <c r="B314" s="11"/>
      <c r="C314" s="12"/>
      <c r="D314" s="12" t="s">
        <v>26</v>
      </c>
      <c r="E314" s="19">
        <v>4</v>
      </c>
      <c r="F314" s="19">
        <v>4</v>
      </c>
      <c r="G314" s="5">
        <f>Q39</f>
        <v>138</v>
      </c>
      <c r="H314" s="16">
        <f t="shared" si="18"/>
        <v>0.55</v>
      </c>
      <c r="I314" s="204">
        <v>0.99</v>
      </c>
      <c r="J314" s="204">
        <v>2.5</v>
      </c>
      <c r="K314" s="204">
        <v>4.91</v>
      </c>
      <c r="L314" s="202">
        <f>(I314+K314)*4+J314*9</f>
        <v>46.1</v>
      </c>
      <c r="M314" s="45">
        <v>31</v>
      </c>
      <c r="N314" s="161">
        <f>(I314+K314)*4+J314*9</f>
        <v>46.1</v>
      </c>
    </row>
    <row r="315" spans="1:14" ht="14.25">
      <c r="A315" s="15">
        <v>3</v>
      </c>
      <c r="B315" s="14" t="s">
        <v>143</v>
      </c>
      <c r="C315" s="5">
        <v>50</v>
      </c>
      <c r="D315" s="5" t="s">
        <v>19</v>
      </c>
      <c r="E315" s="5">
        <v>50</v>
      </c>
      <c r="F315" s="5">
        <v>50</v>
      </c>
      <c r="G315" s="5">
        <f>Q66</f>
        <v>48</v>
      </c>
      <c r="H315" s="29">
        <f t="shared" si="18"/>
        <v>2.4</v>
      </c>
      <c r="I315" s="202">
        <v>3.06</v>
      </c>
      <c r="J315" s="202">
        <v>9.54</v>
      </c>
      <c r="K315" s="202">
        <v>18.28</v>
      </c>
      <c r="L315" s="202">
        <f>(I315+K315)*4+J315*9</f>
        <v>171.22</v>
      </c>
      <c r="M315" s="203">
        <v>1</v>
      </c>
      <c r="N315" s="161">
        <f>(I315+K315)*4+J315*9</f>
        <v>171.22</v>
      </c>
    </row>
    <row r="316" spans="1:14" ht="14.25">
      <c r="A316" s="5">
        <v>4</v>
      </c>
      <c r="B316" s="3" t="s">
        <v>135</v>
      </c>
      <c r="C316" s="15">
        <v>200</v>
      </c>
      <c r="D316" s="5" t="s">
        <v>136</v>
      </c>
      <c r="E316" s="5">
        <v>3</v>
      </c>
      <c r="F316" s="5">
        <v>3</v>
      </c>
      <c r="G316" s="5">
        <f>Q63</f>
        <v>400</v>
      </c>
      <c r="H316" s="29">
        <f t="shared" si="18"/>
        <v>1.2</v>
      </c>
      <c r="I316" s="151"/>
      <c r="J316" s="151"/>
      <c r="K316" s="151"/>
      <c r="L316" s="151"/>
      <c r="M316" s="45"/>
      <c r="N316" s="161"/>
    </row>
    <row r="317" spans="1:14" ht="14.25">
      <c r="A317" s="5"/>
      <c r="B317" s="3"/>
      <c r="C317" s="15"/>
      <c r="D317" s="5" t="s">
        <v>10</v>
      </c>
      <c r="E317" s="5">
        <v>90</v>
      </c>
      <c r="F317" s="5">
        <v>90</v>
      </c>
      <c r="G317" s="5">
        <f>Q10</f>
        <v>70</v>
      </c>
      <c r="H317" s="29">
        <f t="shared" si="18"/>
        <v>6.3</v>
      </c>
      <c r="I317" s="151"/>
      <c r="J317" s="151"/>
      <c r="K317" s="151"/>
      <c r="L317" s="151"/>
      <c r="M317" s="45"/>
      <c r="N317" s="161"/>
    </row>
    <row r="318" spans="1:14" ht="14.25">
      <c r="A318" s="5"/>
      <c r="B318" s="31"/>
      <c r="C318" s="9"/>
      <c r="D318" s="8" t="s">
        <v>2</v>
      </c>
      <c r="E318" s="5">
        <v>14</v>
      </c>
      <c r="F318" s="5">
        <v>14</v>
      </c>
      <c r="G318" s="5">
        <f>Q56</f>
        <v>85</v>
      </c>
      <c r="H318" s="29">
        <f t="shared" si="18"/>
        <v>1.19</v>
      </c>
      <c r="I318" s="202">
        <v>3.52</v>
      </c>
      <c r="J318" s="202">
        <v>3.72</v>
      </c>
      <c r="K318" s="202">
        <v>25.49</v>
      </c>
      <c r="L318" s="202">
        <f>(I318+K318)*4+J318*9</f>
        <v>149.52</v>
      </c>
      <c r="M318" s="203">
        <v>382</v>
      </c>
      <c r="N318" s="161">
        <f>(I318+K318)*4+J318*9</f>
        <v>149.52</v>
      </c>
    </row>
    <row r="319" spans="1:14" ht="14.25">
      <c r="A319" s="5">
        <v>5</v>
      </c>
      <c r="B319" s="198" t="s">
        <v>223</v>
      </c>
      <c r="C319" s="5">
        <v>70</v>
      </c>
      <c r="D319" s="5" t="s">
        <v>224</v>
      </c>
      <c r="E319" s="34">
        <v>70</v>
      </c>
      <c r="F319" s="5"/>
      <c r="G319" s="5">
        <f>Q34</f>
        <v>150</v>
      </c>
      <c r="H319" s="29">
        <f t="shared" si="18"/>
        <v>10.5</v>
      </c>
      <c r="I319" s="16">
        <v>1.05</v>
      </c>
      <c r="J319" s="16">
        <v>0.35</v>
      </c>
      <c r="K319" s="16">
        <v>5.6</v>
      </c>
      <c r="L319" s="16">
        <v>29.75</v>
      </c>
      <c r="M319" s="45">
        <v>368</v>
      </c>
      <c r="N319" s="161">
        <f>(I319+K319)*4+J319*9</f>
        <v>29.75</v>
      </c>
    </row>
    <row r="320" spans="1:14" ht="14.25">
      <c r="A320" s="5"/>
      <c r="B320" s="14"/>
      <c r="C320" s="15"/>
      <c r="D320" s="5" t="s">
        <v>170</v>
      </c>
      <c r="E320" s="5">
        <v>2</v>
      </c>
      <c r="F320" s="5">
        <v>2</v>
      </c>
      <c r="G320" s="5">
        <f>Q60</f>
        <v>24</v>
      </c>
      <c r="H320" s="29">
        <f t="shared" si="18"/>
        <v>0.05</v>
      </c>
      <c r="I320" s="16"/>
      <c r="J320" s="16"/>
      <c r="K320" s="16"/>
      <c r="L320" s="16"/>
      <c r="M320" s="45"/>
      <c r="N320" s="161"/>
    </row>
    <row r="321" spans="1:14" ht="15">
      <c r="A321" s="5"/>
      <c r="B321" s="5"/>
      <c r="C321" s="209">
        <f>SUM(C307:C320)</f>
        <v>620</v>
      </c>
      <c r="D321" s="5"/>
      <c r="E321" s="5"/>
      <c r="F321" s="5"/>
      <c r="G321" s="34"/>
      <c r="H321" s="69">
        <f>SUM(H307:H320)</f>
        <v>68.47</v>
      </c>
      <c r="I321" s="69">
        <f>SUM(I307:I320)</f>
        <v>35.52</v>
      </c>
      <c r="J321" s="69">
        <f>SUM(J307:J320)</f>
        <v>38.67</v>
      </c>
      <c r="K321" s="69">
        <f>SUM(K307:K320)</f>
        <v>101.63</v>
      </c>
      <c r="L321" s="69">
        <f>SUM(L307:L320)</f>
        <v>896.63</v>
      </c>
      <c r="M321" s="156"/>
      <c r="N321" s="161">
        <f>(I321+K321)*4+J321*9</f>
        <v>896.63</v>
      </c>
    </row>
    <row r="322" spans="1:14" ht="15">
      <c r="A322" s="5"/>
      <c r="B322" s="73" t="s">
        <v>145</v>
      </c>
      <c r="C322" s="8"/>
      <c r="D322" s="8"/>
      <c r="E322" s="5"/>
      <c r="F322" s="5"/>
      <c r="G322" s="5"/>
      <c r="H322" s="16"/>
      <c r="I322" s="16"/>
      <c r="J322" s="16"/>
      <c r="K322" s="16"/>
      <c r="L322" s="16"/>
      <c r="M322" s="45"/>
      <c r="N322" s="161"/>
    </row>
    <row r="323" spans="1:14" ht="14.25">
      <c r="A323" s="5">
        <v>1</v>
      </c>
      <c r="B323" s="3" t="s">
        <v>75</v>
      </c>
      <c r="C323" s="34">
        <v>200</v>
      </c>
      <c r="D323" s="187" t="s">
        <v>7</v>
      </c>
      <c r="E323" s="5">
        <v>61</v>
      </c>
      <c r="F323" s="5">
        <v>53</v>
      </c>
      <c r="G323" s="5">
        <f>Q22</f>
        <v>57</v>
      </c>
      <c r="H323" s="16">
        <f>G323*E323/1000</f>
        <v>3.48</v>
      </c>
      <c r="I323" s="16"/>
      <c r="J323" s="16"/>
      <c r="K323" s="16"/>
      <c r="L323" s="16"/>
      <c r="M323" s="45"/>
      <c r="N323" s="161"/>
    </row>
    <row r="324" spans="1:14" ht="14.25">
      <c r="A324" s="2"/>
      <c r="B324" s="3" t="s">
        <v>183</v>
      </c>
      <c r="C324" s="5"/>
      <c r="D324" s="172" t="s">
        <v>184</v>
      </c>
      <c r="E324" s="5">
        <v>8</v>
      </c>
      <c r="F324" s="5">
        <v>8</v>
      </c>
      <c r="G324" s="5">
        <f>Q46</f>
        <v>122</v>
      </c>
      <c r="H324" s="16">
        <f>G324*E324/1000</f>
        <v>0.98</v>
      </c>
      <c r="I324" s="16"/>
      <c r="J324" s="16"/>
      <c r="K324" s="16"/>
      <c r="L324" s="16"/>
      <c r="M324" s="45"/>
      <c r="N324" s="161"/>
    </row>
    <row r="325" spans="1:14" ht="14.25">
      <c r="A325" s="2"/>
      <c r="B325" s="3"/>
      <c r="C325" s="5"/>
      <c r="D325" s="172" t="s">
        <v>8</v>
      </c>
      <c r="E325" s="5">
        <v>10</v>
      </c>
      <c r="F325" s="5">
        <v>8</v>
      </c>
      <c r="G325" s="5">
        <f>Q25</f>
        <v>66</v>
      </c>
      <c r="H325" s="16">
        <f>G325*E325/1000</f>
        <v>0.66</v>
      </c>
      <c r="I325" s="16"/>
      <c r="J325" s="16"/>
      <c r="K325" s="16"/>
      <c r="L325" s="16"/>
      <c r="M325" s="45"/>
      <c r="N325" s="161"/>
    </row>
    <row r="326" spans="1:14" ht="14.25">
      <c r="A326" s="2"/>
      <c r="B326" s="3"/>
      <c r="C326" s="5"/>
      <c r="D326" s="172" t="s">
        <v>6</v>
      </c>
      <c r="E326" s="5">
        <v>10</v>
      </c>
      <c r="F326" s="5">
        <v>8</v>
      </c>
      <c r="G326" s="5">
        <f>Q24</f>
        <v>46</v>
      </c>
      <c r="H326" s="16">
        <f>G326*E326/1000</f>
        <v>0.46</v>
      </c>
      <c r="I326" s="16"/>
      <c r="J326" s="16"/>
      <c r="K326" s="16"/>
      <c r="L326" s="16"/>
      <c r="M326" s="45"/>
      <c r="N326" s="161"/>
    </row>
    <row r="327" spans="1:14" ht="14.25">
      <c r="A327" s="2"/>
      <c r="B327" s="3"/>
      <c r="C327" s="5"/>
      <c r="D327" s="172" t="s">
        <v>26</v>
      </c>
      <c r="E327" s="5">
        <v>4</v>
      </c>
      <c r="F327" s="5">
        <v>4</v>
      </c>
      <c r="G327" s="5">
        <f>Q39</f>
        <v>138</v>
      </c>
      <c r="H327" s="16">
        <f>G327*E327/1000</f>
        <v>0.55</v>
      </c>
      <c r="I327" s="16">
        <v>2.47</v>
      </c>
      <c r="J327" s="16">
        <v>4.41</v>
      </c>
      <c r="K327" s="16">
        <v>16.44</v>
      </c>
      <c r="L327" s="16">
        <v>115.33</v>
      </c>
      <c r="M327" s="184">
        <v>219</v>
      </c>
      <c r="N327" s="161">
        <f>(I327+K327)*4+J327*9</f>
        <v>115.33</v>
      </c>
    </row>
    <row r="328" spans="1:14" ht="14.25">
      <c r="A328" s="5">
        <v>2</v>
      </c>
      <c r="B328" s="11" t="s">
        <v>84</v>
      </c>
      <c r="C328" s="12">
        <v>240</v>
      </c>
      <c r="D328" s="12" t="s">
        <v>76</v>
      </c>
      <c r="E328" s="19">
        <v>132</v>
      </c>
      <c r="F328" s="19">
        <v>120</v>
      </c>
      <c r="G328" s="149">
        <f>Q7</f>
        <v>257</v>
      </c>
      <c r="H328" s="16">
        <f aca="true" t="shared" si="19" ref="H328:H335">G328*E328/1000</f>
        <v>33.92</v>
      </c>
      <c r="I328" s="16"/>
      <c r="J328" s="16"/>
      <c r="K328" s="16"/>
      <c r="L328" s="16"/>
      <c r="M328" s="45"/>
      <c r="N328" s="161"/>
    </row>
    <row r="329" spans="1:14" ht="14.25">
      <c r="A329" s="5"/>
      <c r="B329" s="11"/>
      <c r="C329" s="13"/>
      <c r="D329" s="12" t="s">
        <v>26</v>
      </c>
      <c r="E329" s="19">
        <v>10</v>
      </c>
      <c r="F329" s="19">
        <v>10</v>
      </c>
      <c r="G329" s="149">
        <f>Q39</f>
        <v>138</v>
      </c>
      <c r="H329" s="16">
        <f t="shared" si="19"/>
        <v>1.38</v>
      </c>
      <c r="I329" s="16"/>
      <c r="J329" s="16"/>
      <c r="K329" s="16"/>
      <c r="L329" s="16"/>
      <c r="M329" s="45"/>
      <c r="N329" s="161"/>
    </row>
    <row r="330" spans="1:14" ht="14.25">
      <c r="A330" s="5"/>
      <c r="B330" s="11"/>
      <c r="C330" s="13"/>
      <c r="D330" s="12" t="s">
        <v>24</v>
      </c>
      <c r="E330" s="19">
        <v>15</v>
      </c>
      <c r="F330" s="19">
        <v>13</v>
      </c>
      <c r="G330" s="149">
        <f>Q24</f>
        <v>46</v>
      </c>
      <c r="H330" s="16">
        <f t="shared" si="19"/>
        <v>0.69</v>
      </c>
      <c r="I330" s="16"/>
      <c r="J330" s="16"/>
      <c r="K330" s="16"/>
      <c r="L330" s="16"/>
      <c r="M330" s="45"/>
      <c r="N330" s="161"/>
    </row>
    <row r="331" spans="1:14" ht="14.25">
      <c r="A331" s="5"/>
      <c r="B331" s="11"/>
      <c r="C331" s="12"/>
      <c r="D331" s="12" t="s">
        <v>8</v>
      </c>
      <c r="E331" s="19">
        <v>15</v>
      </c>
      <c r="F331" s="19">
        <v>12</v>
      </c>
      <c r="G331" s="184">
        <f>Q25</f>
        <v>66</v>
      </c>
      <c r="H331" s="16">
        <f>G331*E331/1000</f>
        <v>0.99</v>
      </c>
      <c r="I331" s="16"/>
      <c r="J331" s="16"/>
      <c r="K331" s="16"/>
      <c r="L331" s="16"/>
      <c r="M331" s="45"/>
      <c r="N331" s="161"/>
    </row>
    <row r="332" spans="1:14" ht="14.25">
      <c r="A332" s="5"/>
      <c r="B332" s="11"/>
      <c r="C332" s="12"/>
      <c r="D332" s="12" t="s">
        <v>18</v>
      </c>
      <c r="E332" s="19">
        <v>2</v>
      </c>
      <c r="F332" s="19">
        <v>2</v>
      </c>
      <c r="G332" s="149">
        <f>Q30</f>
        <v>123</v>
      </c>
      <c r="H332" s="16">
        <f t="shared" si="19"/>
        <v>0.25</v>
      </c>
      <c r="I332" s="16"/>
      <c r="J332" s="16"/>
      <c r="K332" s="16"/>
      <c r="L332" s="16"/>
      <c r="M332" s="45"/>
      <c r="N332" s="161"/>
    </row>
    <row r="333" spans="1:14" ht="14.25">
      <c r="A333" s="5"/>
      <c r="B333" s="11"/>
      <c r="C333" s="12"/>
      <c r="D333" s="12" t="s">
        <v>1</v>
      </c>
      <c r="E333" s="19">
        <v>54</v>
      </c>
      <c r="F333" s="19">
        <v>54</v>
      </c>
      <c r="G333" s="149">
        <f>Q49</f>
        <v>98</v>
      </c>
      <c r="H333" s="16">
        <f t="shared" si="19"/>
        <v>5.29</v>
      </c>
      <c r="I333" s="78">
        <v>26.9</v>
      </c>
      <c r="J333" s="78">
        <v>22.56</v>
      </c>
      <c r="K333" s="78">
        <v>47.35</v>
      </c>
      <c r="L333" s="78">
        <v>500.04</v>
      </c>
      <c r="M333" s="45">
        <v>705</v>
      </c>
      <c r="N333" s="161">
        <f>(I333+K333)*4+J333*9</f>
        <v>500.04</v>
      </c>
    </row>
    <row r="334" spans="1:14" ht="14.25">
      <c r="A334" s="5">
        <v>3</v>
      </c>
      <c r="B334" s="11" t="s">
        <v>168</v>
      </c>
      <c r="C334" s="12">
        <v>60</v>
      </c>
      <c r="D334" s="12" t="s">
        <v>15</v>
      </c>
      <c r="E334" s="19">
        <v>71</v>
      </c>
      <c r="F334" s="19">
        <v>56</v>
      </c>
      <c r="G334" s="149">
        <f>Q26</f>
        <v>45</v>
      </c>
      <c r="H334" s="16">
        <f t="shared" si="19"/>
        <v>3.2</v>
      </c>
      <c r="I334" s="78"/>
      <c r="J334" s="78"/>
      <c r="K334" s="78"/>
      <c r="L334" s="78"/>
      <c r="M334" s="45"/>
      <c r="N334" s="161"/>
    </row>
    <row r="335" spans="1:14" ht="14.25">
      <c r="A335" s="5"/>
      <c r="B335" s="11"/>
      <c r="C335" s="12"/>
      <c r="D335" s="12" t="s">
        <v>26</v>
      </c>
      <c r="E335" s="19">
        <v>4</v>
      </c>
      <c r="F335" s="19">
        <v>4</v>
      </c>
      <c r="G335" s="149">
        <f>Q39</f>
        <v>138</v>
      </c>
      <c r="H335" s="16">
        <f t="shared" si="19"/>
        <v>0.55</v>
      </c>
      <c r="I335" s="204">
        <v>0.99</v>
      </c>
      <c r="J335" s="204">
        <v>2.5</v>
      </c>
      <c r="K335" s="204">
        <v>4.91</v>
      </c>
      <c r="L335" s="202">
        <f>(I335+K335)*4+J335*9</f>
        <v>46.1</v>
      </c>
      <c r="M335" s="45">
        <v>31</v>
      </c>
      <c r="N335" s="161">
        <f>(I335+K335)*4+J335*9</f>
        <v>46.1</v>
      </c>
    </row>
    <row r="336" spans="1:21" ht="14.25">
      <c r="A336" s="8">
        <v>4</v>
      </c>
      <c r="B336" s="14" t="s">
        <v>35</v>
      </c>
      <c r="C336" s="5">
        <v>50</v>
      </c>
      <c r="D336" s="5" t="s">
        <v>19</v>
      </c>
      <c r="E336" s="34">
        <v>50</v>
      </c>
      <c r="F336" s="34">
        <v>50</v>
      </c>
      <c r="G336" s="34">
        <f>Q66</f>
        <v>48</v>
      </c>
      <c r="H336" s="16">
        <f aca="true" t="shared" si="20" ref="H336:H341">G336*E336/1000</f>
        <v>2.4</v>
      </c>
      <c r="I336" s="202">
        <v>3.06</v>
      </c>
      <c r="J336" s="202">
        <v>9.54</v>
      </c>
      <c r="K336" s="202">
        <v>18.28</v>
      </c>
      <c r="L336" s="202">
        <f>(I336+K336)*4+J336*9</f>
        <v>171.22</v>
      </c>
      <c r="M336" s="203">
        <v>1</v>
      </c>
      <c r="N336" s="161">
        <f>(I336+K336)*4+J336*9</f>
        <v>171.22</v>
      </c>
      <c r="R336" s="21"/>
      <c r="S336" s="21"/>
      <c r="T336" s="21"/>
      <c r="U336" s="22"/>
    </row>
    <row r="337" spans="1:14" ht="14.25">
      <c r="A337" s="5">
        <v>5</v>
      </c>
      <c r="B337" s="31" t="s">
        <v>25</v>
      </c>
      <c r="C337" s="5">
        <v>200</v>
      </c>
      <c r="D337" s="5" t="s">
        <v>20</v>
      </c>
      <c r="E337" s="5">
        <v>14</v>
      </c>
      <c r="F337" s="5">
        <v>14</v>
      </c>
      <c r="G337" s="5">
        <f>Q35</f>
        <v>148</v>
      </c>
      <c r="H337" s="16">
        <f t="shared" si="20"/>
        <v>2.07</v>
      </c>
      <c r="I337" s="202"/>
      <c r="J337" s="202"/>
      <c r="K337" s="202"/>
      <c r="L337" s="202"/>
      <c r="M337" s="203"/>
      <c r="N337" s="161"/>
    </row>
    <row r="338" spans="1:14" ht="14.25">
      <c r="A338" s="5"/>
      <c r="B338" s="5"/>
      <c r="C338" s="5"/>
      <c r="D338" s="5" t="s">
        <v>2</v>
      </c>
      <c r="E338" s="5">
        <v>12</v>
      </c>
      <c r="F338" s="5">
        <v>12</v>
      </c>
      <c r="G338" s="5">
        <f>Q56</f>
        <v>85</v>
      </c>
      <c r="H338" s="16">
        <f t="shared" si="20"/>
        <v>1.02</v>
      </c>
      <c r="I338" s="205">
        <v>0.04</v>
      </c>
      <c r="J338" s="205">
        <v>0</v>
      </c>
      <c r="K338" s="205">
        <v>24.76</v>
      </c>
      <c r="L338" s="202">
        <f>(I338+K338)*4+J338*9</f>
        <v>99.2</v>
      </c>
      <c r="M338" s="203">
        <v>349</v>
      </c>
      <c r="N338" s="161">
        <f>(I338+K338)*4+J338*9</f>
        <v>99.2</v>
      </c>
    </row>
    <row r="339" spans="1:17" ht="15">
      <c r="A339" s="5">
        <v>6</v>
      </c>
      <c r="B339" s="198" t="s">
        <v>223</v>
      </c>
      <c r="C339" s="5">
        <v>70</v>
      </c>
      <c r="D339" s="5" t="s">
        <v>224</v>
      </c>
      <c r="E339" s="34">
        <v>70</v>
      </c>
      <c r="F339" s="5"/>
      <c r="G339" s="5">
        <f>Q34</f>
        <v>150</v>
      </c>
      <c r="H339" s="16">
        <f t="shared" si="20"/>
        <v>10.5</v>
      </c>
      <c r="I339" s="16">
        <v>1.05</v>
      </c>
      <c r="J339" s="16">
        <v>0.35</v>
      </c>
      <c r="K339" s="16">
        <v>5.6</v>
      </c>
      <c r="L339" s="16">
        <v>29.75</v>
      </c>
      <c r="M339" s="45">
        <v>368</v>
      </c>
      <c r="N339" s="161">
        <f>(I339+K339)*4+J339*9</f>
        <v>29.75</v>
      </c>
      <c r="O339" s="26"/>
      <c r="P339" s="26"/>
      <c r="Q339" s="41"/>
    </row>
    <row r="340" spans="1:17" ht="15">
      <c r="A340" s="8"/>
      <c r="B340" s="14"/>
      <c r="C340" s="5"/>
      <c r="D340" s="5" t="s">
        <v>170</v>
      </c>
      <c r="E340" s="5">
        <v>3</v>
      </c>
      <c r="F340" s="5">
        <v>3</v>
      </c>
      <c r="G340" s="5">
        <f>Q60</f>
        <v>24</v>
      </c>
      <c r="H340" s="16">
        <f t="shared" si="20"/>
        <v>0.07</v>
      </c>
      <c r="I340" s="16"/>
      <c r="J340" s="16"/>
      <c r="K340" s="16"/>
      <c r="L340" s="16"/>
      <c r="M340" s="45"/>
      <c r="N340" s="161"/>
      <c r="O340" s="26"/>
      <c r="P340" s="26"/>
      <c r="Q340" s="41"/>
    </row>
    <row r="341" spans="1:17" ht="15">
      <c r="A341" s="8"/>
      <c r="B341" s="14"/>
      <c r="C341" s="5"/>
      <c r="D341" s="5" t="s">
        <v>94</v>
      </c>
      <c r="E341" s="5">
        <v>0.02</v>
      </c>
      <c r="F341" s="5">
        <v>0.02</v>
      </c>
      <c r="G341" s="5">
        <f>Q65</f>
        <v>483</v>
      </c>
      <c r="H341" s="16">
        <f t="shared" si="20"/>
        <v>0.01</v>
      </c>
      <c r="I341" s="16"/>
      <c r="J341" s="16"/>
      <c r="K341" s="16"/>
      <c r="L341" s="16"/>
      <c r="M341" s="45"/>
      <c r="N341" s="161"/>
      <c r="O341" s="26"/>
      <c r="P341" s="26"/>
      <c r="Q341" s="41"/>
    </row>
    <row r="342" spans="1:17" ht="15">
      <c r="A342" s="8"/>
      <c r="B342" s="14"/>
      <c r="C342" s="209">
        <f>SUM(C323:C341)</f>
        <v>820</v>
      </c>
      <c r="D342" s="5"/>
      <c r="E342" s="34"/>
      <c r="F342" s="34"/>
      <c r="G342" s="34"/>
      <c r="H342" s="69">
        <f>SUM(H323:H341)</f>
        <v>68.47</v>
      </c>
      <c r="I342" s="69">
        <f>SUM(I323:I341)</f>
        <v>34.51</v>
      </c>
      <c r="J342" s="69">
        <f>SUM(J323:J341)</f>
        <v>39.36</v>
      </c>
      <c r="K342" s="69">
        <f>SUM(K323:K341)</f>
        <v>117.34</v>
      </c>
      <c r="L342" s="69">
        <f>SUM(L323:L341)</f>
        <v>961.64</v>
      </c>
      <c r="M342" s="156"/>
      <c r="N342" s="161">
        <f>(I342+K342)*4+J342*9</f>
        <v>961.64</v>
      </c>
      <c r="O342" s="26"/>
      <c r="P342" s="26"/>
      <c r="Q342" s="41"/>
    </row>
    <row r="343" spans="1:17" ht="15">
      <c r="A343" s="23"/>
      <c r="B343" s="20"/>
      <c r="C343" s="21"/>
      <c r="D343" s="21"/>
      <c r="E343" s="36"/>
      <c r="F343" s="36"/>
      <c r="G343" s="36"/>
      <c r="H343" s="93"/>
      <c r="I343" s="93"/>
      <c r="J343" s="93"/>
      <c r="K343" s="93"/>
      <c r="L343" s="93"/>
      <c r="M343" s="153"/>
      <c r="N343" s="161"/>
      <c r="O343" s="26"/>
      <c r="P343" s="26"/>
      <c r="Q343" s="41"/>
    </row>
    <row r="344" spans="1:17" ht="15">
      <c r="A344" s="21"/>
      <c r="B344" s="75"/>
      <c r="C344" s="27"/>
      <c r="D344" s="27"/>
      <c r="N344" s="161"/>
      <c r="O344" s="42"/>
      <c r="P344" s="42"/>
      <c r="Q344" s="41"/>
    </row>
    <row r="345" spans="2:17" s="71" customFormat="1" ht="15">
      <c r="B345" s="74" t="s">
        <v>40</v>
      </c>
      <c r="M345" s="162"/>
      <c r="N345" s="197"/>
      <c r="O345" s="233"/>
      <c r="P345" s="233"/>
      <c r="Q345" s="233"/>
    </row>
    <row r="346" spans="1:17" ht="28.5">
      <c r="A346" s="247" t="s">
        <v>3</v>
      </c>
      <c r="B346" s="8"/>
      <c r="C346" s="8" t="s">
        <v>4</v>
      </c>
      <c r="D346" s="247" t="s">
        <v>29</v>
      </c>
      <c r="E346" s="101" t="s">
        <v>12</v>
      </c>
      <c r="F346" s="101" t="s">
        <v>57</v>
      </c>
      <c r="G346" s="101" t="s">
        <v>30</v>
      </c>
      <c r="H346" s="101" t="s">
        <v>31</v>
      </c>
      <c r="I346" s="250" t="s">
        <v>70</v>
      </c>
      <c r="J346" s="250" t="s">
        <v>71</v>
      </c>
      <c r="K346" s="250" t="s">
        <v>72</v>
      </c>
      <c r="L346" s="250" t="s">
        <v>73</v>
      </c>
      <c r="M346" s="245" t="s">
        <v>150</v>
      </c>
      <c r="N346" s="161"/>
      <c r="O346" s="7"/>
      <c r="P346" s="7"/>
      <c r="Q346" s="7"/>
    </row>
    <row r="347" spans="1:17" ht="15">
      <c r="A347" s="252"/>
      <c r="B347" s="72" t="s">
        <v>144</v>
      </c>
      <c r="C347" s="8" t="s">
        <v>32</v>
      </c>
      <c r="D347" s="251"/>
      <c r="E347" s="5" t="s">
        <v>32</v>
      </c>
      <c r="F347" s="5" t="s">
        <v>32</v>
      </c>
      <c r="G347" s="5" t="s">
        <v>33</v>
      </c>
      <c r="H347" s="5" t="s">
        <v>34</v>
      </c>
      <c r="I347" s="248"/>
      <c r="J347" s="248"/>
      <c r="K347" s="248"/>
      <c r="L347" s="248"/>
      <c r="M347" s="254"/>
      <c r="N347" s="161"/>
      <c r="O347" s="7"/>
      <c r="P347" s="7"/>
      <c r="Q347" s="7"/>
    </row>
    <row r="348" spans="1:17" ht="14.25">
      <c r="A348" s="5">
        <v>1</v>
      </c>
      <c r="B348" s="11" t="s">
        <v>216</v>
      </c>
      <c r="C348" s="12" t="s">
        <v>235</v>
      </c>
      <c r="D348" s="12" t="s">
        <v>78</v>
      </c>
      <c r="E348" s="34">
        <v>98</v>
      </c>
      <c r="F348" s="34">
        <v>81</v>
      </c>
      <c r="G348" s="184">
        <f>Q40</f>
        <v>207</v>
      </c>
      <c r="H348" s="16">
        <f>E348*G348/1000</f>
        <v>20.29</v>
      </c>
      <c r="I348" s="16"/>
      <c r="J348" s="16"/>
      <c r="K348" s="16"/>
      <c r="L348" s="16"/>
      <c r="M348" s="45"/>
      <c r="N348" s="161"/>
      <c r="O348" s="7"/>
      <c r="P348" s="7"/>
      <c r="Q348" s="7"/>
    </row>
    <row r="349" spans="1:17" ht="14.25">
      <c r="A349" s="5"/>
      <c r="B349" s="11"/>
      <c r="C349" s="13"/>
      <c r="D349" s="12" t="s">
        <v>19</v>
      </c>
      <c r="E349" s="5">
        <v>13</v>
      </c>
      <c r="F349" s="5">
        <v>13</v>
      </c>
      <c r="G349" s="184">
        <f>Q66</f>
        <v>48</v>
      </c>
      <c r="H349" s="16">
        <f aca="true" t="shared" si="21" ref="H349:H355">E349*G349/1000</f>
        <v>0.62</v>
      </c>
      <c r="I349" s="16"/>
      <c r="J349" s="16"/>
      <c r="K349" s="16"/>
      <c r="L349" s="16"/>
      <c r="M349" s="45"/>
      <c r="N349" s="161"/>
      <c r="O349" s="7"/>
      <c r="P349" s="7"/>
      <c r="Q349" s="7"/>
    </row>
    <row r="350" spans="1:17" ht="14.25">
      <c r="A350" s="5"/>
      <c r="B350" s="11"/>
      <c r="C350" s="13"/>
      <c r="D350" s="12" t="s">
        <v>6</v>
      </c>
      <c r="E350" s="5">
        <v>18</v>
      </c>
      <c r="F350" s="5">
        <v>16</v>
      </c>
      <c r="G350" s="184">
        <f>Q24</f>
        <v>46</v>
      </c>
      <c r="H350" s="16">
        <f t="shared" si="21"/>
        <v>0.83</v>
      </c>
      <c r="I350" s="16"/>
      <c r="J350" s="16"/>
      <c r="K350" s="16"/>
      <c r="L350" s="16"/>
      <c r="M350" s="45"/>
      <c r="N350" s="161"/>
      <c r="O350" s="7"/>
      <c r="P350" s="7"/>
      <c r="Q350" s="7"/>
    </row>
    <row r="351" spans="1:17" ht="14.25">
      <c r="A351" s="5"/>
      <c r="B351" s="11"/>
      <c r="C351" s="12"/>
      <c r="D351" s="12" t="s">
        <v>11</v>
      </c>
      <c r="E351" s="5">
        <v>0.18</v>
      </c>
      <c r="F351" s="5">
        <v>0.18</v>
      </c>
      <c r="G351" s="16">
        <f>Q5</f>
        <v>9.5</v>
      </c>
      <c r="H351" s="16">
        <f>E351*G351</f>
        <v>1.71</v>
      </c>
      <c r="I351" s="16"/>
      <c r="J351" s="16"/>
      <c r="K351" s="16"/>
      <c r="L351" s="16"/>
      <c r="M351" s="45"/>
      <c r="N351" s="161"/>
      <c r="O351" s="7"/>
      <c r="P351" s="7"/>
      <c r="Q351" s="7"/>
    </row>
    <row r="352" spans="1:17" ht="14.25">
      <c r="A352" s="5"/>
      <c r="B352" s="11"/>
      <c r="C352" s="12"/>
      <c r="D352" s="12" t="s">
        <v>74</v>
      </c>
      <c r="E352" s="184">
        <v>6</v>
      </c>
      <c r="F352" s="5">
        <v>6</v>
      </c>
      <c r="G352" s="5">
        <f>Q45</f>
        <v>38</v>
      </c>
      <c r="H352" s="16">
        <f t="shared" si="21"/>
        <v>0.23</v>
      </c>
      <c r="I352" s="16"/>
      <c r="J352" s="16"/>
      <c r="K352" s="16"/>
      <c r="L352" s="16"/>
      <c r="M352" s="45"/>
      <c r="N352" s="161"/>
      <c r="O352" s="7"/>
      <c r="P352" s="7"/>
      <c r="Q352" s="7"/>
    </row>
    <row r="353" spans="1:17" ht="14.25">
      <c r="A353" s="5"/>
      <c r="B353" s="11"/>
      <c r="C353" s="12"/>
      <c r="D353" s="12" t="s">
        <v>26</v>
      </c>
      <c r="E353" s="184">
        <v>6</v>
      </c>
      <c r="F353" s="5">
        <v>6</v>
      </c>
      <c r="G353" s="5">
        <f>Q39</f>
        <v>138</v>
      </c>
      <c r="H353" s="16">
        <f t="shared" si="21"/>
        <v>0.83</v>
      </c>
      <c r="I353" s="16"/>
      <c r="J353" s="16"/>
      <c r="K353" s="16"/>
      <c r="L353" s="16"/>
      <c r="M353" s="45"/>
      <c r="N353" s="161"/>
      <c r="O353" s="7"/>
      <c r="P353" s="7"/>
      <c r="Q353" s="7"/>
    </row>
    <row r="354" spans="1:17" ht="14.25">
      <c r="A354" s="5"/>
      <c r="B354" s="11"/>
      <c r="C354" s="12"/>
      <c r="D354" s="12" t="s">
        <v>9</v>
      </c>
      <c r="E354" s="184">
        <v>20</v>
      </c>
      <c r="F354" s="5">
        <v>20</v>
      </c>
      <c r="G354" s="5">
        <f>Q12</f>
        <v>182</v>
      </c>
      <c r="H354" s="16">
        <f t="shared" si="21"/>
        <v>3.64</v>
      </c>
      <c r="I354" s="16"/>
      <c r="J354" s="16"/>
      <c r="K354" s="16"/>
      <c r="L354" s="16"/>
      <c r="M354" s="45"/>
      <c r="N354" s="161"/>
      <c r="O354" s="7"/>
      <c r="P354" s="7"/>
      <c r="Q354" s="7"/>
    </row>
    <row r="355" spans="1:17" ht="14.25">
      <c r="A355" s="5"/>
      <c r="B355" s="11"/>
      <c r="C355" s="12"/>
      <c r="D355" s="12" t="s">
        <v>18</v>
      </c>
      <c r="E355" s="184">
        <v>7</v>
      </c>
      <c r="F355" s="5">
        <v>7</v>
      </c>
      <c r="G355" s="5">
        <f>Q30</f>
        <v>123</v>
      </c>
      <c r="H355" s="16">
        <f t="shared" si="21"/>
        <v>0.86</v>
      </c>
      <c r="I355" s="16">
        <v>15.51</v>
      </c>
      <c r="J355" s="16">
        <v>13.51</v>
      </c>
      <c r="K355" s="16">
        <v>17.59</v>
      </c>
      <c r="L355" s="16">
        <v>253.99</v>
      </c>
      <c r="M355" s="184">
        <v>703</v>
      </c>
      <c r="N355" s="161">
        <f>(I355+K355)*4+J355*9</f>
        <v>253.99</v>
      </c>
      <c r="O355" s="7"/>
      <c r="P355" s="7"/>
      <c r="Q355" s="7"/>
    </row>
    <row r="356" spans="1:17" ht="14.25">
      <c r="A356" s="5">
        <v>2</v>
      </c>
      <c r="B356" s="14" t="s">
        <v>91</v>
      </c>
      <c r="C356" s="5">
        <v>150</v>
      </c>
      <c r="D356" s="5" t="s">
        <v>7</v>
      </c>
      <c r="E356" s="5">
        <v>214</v>
      </c>
      <c r="F356" s="5">
        <v>128</v>
      </c>
      <c r="G356" s="5">
        <f>Q22</f>
        <v>57</v>
      </c>
      <c r="H356" s="16">
        <f aca="true" t="shared" si="22" ref="H356:H364">E356*G356/1000</f>
        <v>12.2</v>
      </c>
      <c r="I356" s="16"/>
      <c r="J356" s="16"/>
      <c r="K356" s="16"/>
      <c r="L356" s="16"/>
      <c r="M356" s="45"/>
      <c r="N356" s="161"/>
      <c r="O356" s="7"/>
      <c r="P356" s="7"/>
      <c r="Q356" s="7"/>
    </row>
    <row r="357" spans="1:14" ht="14.25">
      <c r="A357" s="5"/>
      <c r="B357" s="31"/>
      <c r="C357" s="5"/>
      <c r="D357" s="5" t="s">
        <v>10</v>
      </c>
      <c r="E357" s="5">
        <v>30</v>
      </c>
      <c r="F357" s="5">
        <v>30</v>
      </c>
      <c r="G357" s="5">
        <f>Q10</f>
        <v>70</v>
      </c>
      <c r="H357" s="16">
        <f t="shared" si="22"/>
        <v>2.1</v>
      </c>
      <c r="I357" s="16"/>
      <c r="J357" s="16"/>
      <c r="K357" s="16"/>
      <c r="L357" s="16"/>
      <c r="M357" s="45"/>
      <c r="N357" s="161"/>
    </row>
    <row r="358" spans="1:14" ht="14.25">
      <c r="A358" s="5"/>
      <c r="B358" s="32"/>
      <c r="C358" s="28"/>
      <c r="D358" s="28" t="s">
        <v>28</v>
      </c>
      <c r="E358" s="5">
        <v>5</v>
      </c>
      <c r="F358" s="5">
        <v>5</v>
      </c>
      <c r="G358" s="5">
        <f>Q11</f>
        <v>490</v>
      </c>
      <c r="H358" s="16">
        <f t="shared" si="22"/>
        <v>2.45</v>
      </c>
      <c r="I358" s="16">
        <v>3.4</v>
      </c>
      <c r="J358" s="16">
        <v>6.06</v>
      </c>
      <c r="K358" s="16">
        <v>20.52</v>
      </c>
      <c r="L358" s="202">
        <f>(I358+K358)*4+J358*9</f>
        <v>150.22</v>
      </c>
      <c r="M358" s="203">
        <v>321</v>
      </c>
      <c r="N358" s="161">
        <f>(I358+K358)*4+J358*9</f>
        <v>150.22</v>
      </c>
    </row>
    <row r="359" spans="1:14" ht="14.25">
      <c r="A359" s="5">
        <v>3</v>
      </c>
      <c r="B359" s="31" t="s">
        <v>140</v>
      </c>
      <c r="C359" s="5">
        <v>50</v>
      </c>
      <c r="D359" s="5" t="s">
        <v>19</v>
      </c>
      <c r="E359" s="5">
        <v>50</v>
      </c>
      <c r="F359" s="5">
        <v>50</v>
      </c>
      <c r="G359" s="5">
        <f>Q66</f>
        <v>48</v>
      </c>
      <c r="H359" s="16">
        <f t="shared" si="22"/>
        <v>2.4</v>
      </c>
      <c r="I359" s="202">
        <v>3.06</v>
      </c>
      <c r="J359" s="202">
        <v>9.54</v>
      </c>
      <c r="K359" s="202">
        <v>18.28</v>
      </c>
      <c r="L359" s="202">
        <f>(I359+K359)*4+J359*9</f>
        <v>171.22</v>
      </c>
      <c r="M359" s="203">
        <v>1</v>
      </c>
      <c r="N359" s="161">
        <f>(I359+K359)*4+J359*9</f>
        <v>171.22</v>
      </c>
    </row>
    <row r="360" spans="1:14" ht="14.25">
      <c r="A360" s="5">
        <v>4</v>
      </c>
      <c r="B360" s="31" t="s">
        <v>66</v>
      </c>
      <c r="C360" s="15">
        <v>15</v>
      </c>
      <c r="D360" s="5" t="s">
        <v>28</v>
      </c>
      <c r="E360" s="5">
        <v>15</v>
      </c>
      <c r="F360" s="5">
        <v>15</v>
      </c>
      <c r="G360" s="184">
        <f>Q11</f>
        <v>490</v>
      </c>
      <c r="H360" s="16">
        <f>E360*G360/1000</f>
        <v>7.35</v>
      </c>
      <c r="I360" s="205">
        <v>0</v>
      </c>
      <c r="J360" s="205">
        <v>12.3</v>
      </c>
      <c r="K360" s="205">
        <v>0.15</v>
      </c>
      <c r="L360" s="202">
        <v>111.3</v>
      </c>
      <c r="M360" s="203">
        <v>14</v>
      </c>
      <c r="N360" s="161">
        <f>(I360+K360)*4+J360*9</f>
        <v>111.3</v>
      </c>
    </row>
    <row r="361" spans="1:14" ht="14.25">
      <c r="A361" s="5">
        <v>5</v>
      </c>
      <c r="B361" s="141" t="s">
        <v>13</v>
      </c>
      <c r="C361" s="15">
        <v>200</v>
      </c>
      <c r="D361" s="5" t="s">
        <v>51</v>
      </c>
      <c r="E361" s="5">
        <v>1</v>
      </c>
      <c r="F361" s="5">
        <v>1</v>
      </c>
      <c r="G361" s="5">
        <f>Q64</f>
        <v>507</v>
      </c>
      <c r="H361" s="16">
        <f t="shared" si="22"/>
        <v>0.51</v>
      </c>
      <c r="I361" s="16"/>
      <c r="J361" s="16"/>
      <c r="K361" s="16"/>
      <c r="L361" s="16"/>
      <c r="M361" s="45"/>
      <c r="N361" s="161"/>
    </row>
    <row r="362" spans="1:14" ht="14.25">
      <c r="A362" s="15"/>
      <c r="B362" s="14"/>
      <c r="C362" s="15"/>
      <c r="D362" s="5" t="s">
        <v>2</v>
      </c>
      <c r="E362" s="5">
        <v>14</v>
      </c>
      <c r="F362" s="5">
        <v>14</v>
      </c>
      <c r="G362" s="5">
        <f>Q56</f>
        <v>85</v>
      </c>
      <c r="H362" s="16">
        <f t="shared" si="22"/>
        <v>1.19</v>
      </c>
      <c r="I362" s="78">
        <v>0.2</v>
      </c>
      <c r="J362" s="78">
        <v>0</v>
      </c>
      <c r="K362" s="78">
        <v>14</v>
      </c>
      <c r="L362" s="78">
        <v>56.8</v>
      </c>
      <c r="M362" s="45">
        <v>1009</v>
      </c>
      <c r="N362" s="161">
        <f>(I362+K362)*4+J362*9</f>
        <v>56.8</v>
      </c>
    </row>
    <row r="363" spans="1:14" ht="14.25">
      <c r="A363" s="15">
        <v>6</v>
      </c>
      <c r="B363" s="198" t="s">
        <v>137</v>
      </c>
      <c r="C363" s="5">
        <v>100</v>
      </c>
      <c r="D363" s="5" t="s">
        <v>138</v>
      </c>
      <c r="E363" s="34">
        <v>100</v>
      </c>
      <c r="F363" s="5"/>
      <c r="G363" s="5">
        <f>Q31</f>
        <v>112</v>
      </c>
      <c r="H363" s="16">
        <f t="shared" si="22"/>
        <v>11.2</v>
      </c>
      <c r="I363" s="202">
        <v>0.4</v>
      </c>
      <c r="J363" s="202">
        <v>0.4</v>
      </c>
      <c r="K363" s="202">
        <v>9.8</v>
      </c>
      <c r="L363" s="202">
        <v>44.4</v>
      </c>
      <c r="M363" s="203">
        <v>368</v>
      </c>
      <c r="N363" s="161">
        <f>(I363+K363)*4+J363*9</f>
        <v>44.4</v>
      </c>
    </row>
    <row r="364" spans="1:14" ht="12.75" customHeight="1">
      <c r="A364" s="5"/>
      <c r="B364" s="8"/>
      <c r="C364" s="15"/>
      <c r="D364" s="5" t="s">
        <v>170</v>
      </c>
      <c r="E364" s="5">
        <v>2.5</v>
      </c>
      <c r="F364" s="5">
        <v>2.5</v>
      </c>
      <c r="G364" s="5">
        <f>Q60</f>
        <v>24</v>
      </c>
      <c r="H364" s="16">
        <f t="shared" si="22"/>
        <v>0.06</v>
      </c>
      <c r="I364" s="16"/>
      <c r="J364" s="16"/>
      <c r="K364" s="16"/>
      <c r="L364" s="16"/>
      <c r="M364" s="45"/>
      <c r="N364" s="161"/>
    </row>
    <row r="365" spans="1:14" ht="15">
      <c r="A365" s="2"/>
      <c r="B365" s="2"/>
      <c r="C365" s="209">
        <v>665</v>
      </c>
      <c r="D365" s="5"/>
      <c r="E365" s="5"/>
      <c r="F365" s="5"/>
      <c r="G365" s="34"/>
      <c r="H365" s="69">
        <f>SUM(H348:H364)</f>
        <v>68.47</v>
      </c>
      <c r="I365" s="69">
        <f>SUM(I348:I364)</f>
        <v>22.57</v>
      </c>
      <c r="J365" s="69">
        <f>SUM(J348:J364)</f>
        <v>41.81</v>
      </c>
      <c r="K365" s="69">
        <f>SUM(K348:K364)</f>
        <v>80.34</v>
      </c>
      <c r="L365" s="69">
        <f>SUM(L348:L364)</f>
        <v>787.93</v>
      </c>
      <c r="M365" s="156"/>
      <c r="N365" s="161">
        <f>(I365+K365)*4+J365*9</f>
        <v>787.93</v>
      </c>
    </row>
    <row r="366" spans="1:14" ht="15">
      <c r="A366" s="2"/>
      <c r="B366" s="73" t="s">
        <v>145</v>
      </c>
      <c r="C366" s="5"/>
      <c r="D366" s="2"/>
      <c r="E366" s="5"/>
      <c r="F366" s="5"/>
      <c r="G366" s="5"/>
      <c r="H366" s="16"/>
      <c r="I366" s="16"/>
      <c r="J366" s="16"/>
      <c r="K366" s="16"/>
      <c r="L366" s="16"/>
      <c r="M366" s="45"/>
      <c r="N366" s="161"/>
    </row>
    <row r="367" spans="1:14" ht="14.25">
      <c r="A367" s="5">
        <v>1</v>
      </c>
      <c r="B367" s="14" t="s">
        <v>154</v>
      </c>
      <c r="C367" s="143">
        <v>250</v>
      </c>
      <c r="D367" s="5" t="s">
        <v>7</v>
      </c>
      <c r="E367" s="5">
        <v>75</v>
      </c>
      <c r="F367" s="5">
        <v>50</v>
      </c>
      <c r="G367" s="5">
        <f>Q22</f>
        <v>57</v>
      </c>
      <c r="H367" s="16">
        <f aca="true" t="shared" si="23" ref="H367:H382">E367*G367/1000</f>
        <v>4.28</v>
      </c>
      <c r="I367" s="16"/>
      <c r="J367" s="16"/>
      <c r="K367" s="16"/>
      <c r="L367" s="16"/>
      <c r="M367" s="45"/>
      <c r="N367" s="161"/>
    </row>
    <row r="368" spans="1:14" ht="14.25">
      <c r="A368" s="5"/>
      <c r="B368" s="8"/>
      <c r="C368" s="15"/>
      <c r="D368" s="5" t="s">
        <v>21</v>
      </c>
      <c r="E368" s="5">
        <v>18</v>
      </c>
      <c r="F368" s="5">
        <v>16</v>
      </c>
      <c r="G368" s="5">
        <f>Q52</f>
        <v>61</v>
      </c>
      <c r="H368" s="16">
        <f t="shared" si="23"/>
        <v>1.1</v>
      </c>
      <c r="I368" s="16"/>
      <c r="J368" s="16"/>
      <c r="K368" s="16"/>
      <c r="L368" s="16"/>
      <c r="M368" s="45"/>
      <c r="N368" s="161"/>
    </row>
    <row r="369" spans="1:14" ht="14.25">
      <c r="A369" s="5"/>
      <c r="B369" s="8"/>
      <c r="C369" s="15"/>
      <c r="D369" s="5" t="s">
        <v>6</v>
      </c>
      <c r="E369" s="5">
        <v>12</v>
      </c>
      <c r="F369" s="5">
        <v>10</v>
      </c>
      <c r="G369" s="5">
        <f>Q24</f>
        <v>46</v>
      </c>
      <c r="H369" s="16">
        <f t="shared" si="23"/>
        <v>0.55</v>
      </c>
      <c r="I369" s="16"/>
      <c r="J369" s="16"/>
      <c r="K369" s="16"/>
      <c r="L369" s="16"/>
      <c r="M369" s="45"/>
      <c r="N369" s="161"/>
    </row>
    <row r="370" spans="1:14" ht="14.25">
      <c r="A370" s="5"/>
      <c r="B370" s="8"/>
      <c r="C370" s="15"/>
      <c r="D370" s="5" t="s">
        <v>8</v>
      </c>
      <c r="E370" s="5">
        <v>13</v>
      </c>
      <c r="F370" s="5">
        <v>11</v>
      </c>
      <c r="G370" s="5">
        <f>Q25</f>
        <v>66</v>
      </c>
      <c r="H370" s="16">
        <f t="shared" si="23"/>
        <v>0.86</v>
      </c>
      <c r="I370" s="16"/>
      <c r="J370" s="16"/>
      <c r="K370" s="16"/>
      <c r="L370" s="16"/>
      <c r="M370" s="45"/>
      <c r="N370" s="161"/>
    </row>
    <row r="371" spans="1:14" ht="14.25">
      <c r="A371" s="5"/>
      <c r="B371" s="8"/>
      <c r="C371" s="15"/>
      <c r="D371" s="5" t="s">
        <v>26</v>
      </c>
      <c r="E371" s="5">
        <v>5</v>
      </c>
      <c r="F371" s="5">
        <v>5</v>
      </c>
      <c r="G371" s="5">
        <f>Q39</f>
        <v>138</v>
      </c>
      <c r="H371" s="16">
        <f t="shared" si="23"/>
        <v>0.69</v>
      </c>
      <c r="I371" s="16">
        <v>6.2</v>
      </c>
      <c r="J371" s="16">
        <v>5.51</v>
      </c>
      <c r="K371" s="16">
        <v>20.55</v>
      </c>
      <c r="L371" s="16">
        <v>156.59</v>
      </c>
      <c r="M371" s="184">
        <v>221</v>
      </c>
      <c r="N371" s="161">
        <f>(I371+K371)*4+J371*9</f>
        <v>156.59</v>
      </c>
    </row>
    <row r="372" spans="1:14" ht="14.25">
      <c r="A372" s="5">
        <v>2</v>
      </c>
      <c r="B372" s="11" t="s">
        <v>216</v>
      </c>
      <c r="C372" s="12" t="s">
        <v>161</v>
      </c>
      <c r="D372" s="12" t="s">
        <v>78</v>
      </c>
      <c r="E372" s="19">
        <v>84</v>
      </c>
      <c r="F372" s="19">
        <v>61</v>
      </c>
      <c r="G372" s="5">
        <f>Q40</f>
        <v>207</v>
      </c>
      <c r="H372" s="16">
        <f t="shared" si="23"/>
        <v>17.39</v>
      </c>
      <c r="I372" s="16"/>
      <c r="J372" s="16"/>
      <c r="K372" s="16"/>
      <c r="L372" s="16"/>
      <c r="M372" s="45"/>
      <c r="N372" s="161"/>
    </row>
    <row r="373" spans="1:14" ht="14.25">
      <c r="A373" s="5"/>
      <c r="B373" s="11"/>
      <c r="C373" s="13"/>
      <c r="D373" s="12" t="s">
        <v>19</v>
      </c>
      <c r="E373" s="19">
        <v>12</v>
      </c>
      <c r="F373" s="19">
        <v>12</v>
      </c>
      <c r="G373" s="5">
        <f>Q66</f>
        <v>48</v>
      </c>
      <c r="H373" s="16">
        <f t="shared" si="23"/>
        <v>0.58</v>
      </c>
      <c r="I373" s="16"/>
      <c r="J373" s="16"/>
      <c r="K373" s="16"/>
      <c r="L373" s="16"/>
      <c r="M373" s="45"/>
      <c r="N373" s="161"/>
    </row>
    <row r="374" spans="1:14" ht="14.25">
      <c r="A374" s="5"/>
      <c r="B374" s="11"/>
      <c r="C374" s="13"/>
      <c r="D374" s="12" t="s">
        <v>6</v>
      </c>
      <c r="E374" s="19">
        <v>15</v>
      </c>
      <c r="F374" s="19">
        <v>13</v>
      </c>
      <c r="G374" s="5">
        <f>Q24</f>
        <v>46</v>
      </c>
      <c r="H374" s="16">
        <f t="shared" si="23"/>
        <v>0.69</v>
      </c>
      <c r="I374" s="16"/>
      <c r="J374" s="16"/>
      <c r="K374" s="16"/>
      <c r="L374" s="16"/>
      <c r="M374" s="45"/>
      <c r="N374" s="161"/>
    </row>
    <row r="375" spans="1:14" ht="14.25">
      <c r="A375" s="5"/>
      <c r="B375" s="11"/>
      <c r="C375" s="12"/>
      <c r="D375" s="12" t="s">
        <v>11</v>
      </c>
      <c r="E375" s="19">
        <v>0.11</v>
      </c>
      <c r="F375" s="19">
        <v>0.11</v>
      </c>
      <c r="G375" s="16">
        <f>Q5</f>
        <v>9.5</v>
      </c>
      <c r="H375" s="16">
        <f>E375*G375</f>
        <v>1.05</v>
      </c>
      <c r="I375" s="16"/>
      <c r="J375" s="16"/>
      <c r="K375" s="16"/>
      <c r="L375" s="16"/>
      <c r="M375" s="45"/>
      <c r="N375" s="161"/>
    </row>
    <row r="376" spans="1:14" ht="14.25">
      <c r="A376" s="5"/>
      <c r="B376" s="11"/>
      <c r="C376" s="12"/>
      <c r="D376" s="12" t="s">
        <v>74</v>
      </c>
      <c r="E376" s="19">
        <v>6</v>
      </c>
      <c r="F376" s="19">
        <v>6</v>
      </c>
      <c r="G376" s="34">
        <f>Q45</f>
        <v>38</v>
      </c>
      <c r="H376" s="16">
        <f t="shared" si="23"/>
        <v>0.23</v>
      </c>
      <c r="I376" s="16"/>
      <c r="J376" s="16"/>
      <c r="K376" s="16"/>
      <c r="L376" s="16"/>
      <c r="M376" s="45"/>
      <c r="N376" s="161"/>
    </row>
    <row r="377" spans="1:14" ht="14.25">
      <c r="A377" s="5"/>
      <c r="B377" s="11"/>
      <c r="C377" s="12"/>
      <c r="D377" s="12" t="s">
        <v>26</v>
      </c>
      <c r="E377" s="19">
        <v>6</v>
      </c>
      <c r="F377" s="19">
        <v>6</v>
      </c>
      <c r="G377" s="34">
        <f>Q39</f>
        <v>138</v>
      </c>
      <c r="H377" s="16">
        <f t="shared" si="23"/>
        <v>0.83</v>
      </c>
      <c r="I377" s="16"/>
      <c r="J377" s="16"/>
      <c r="K377" s="16"/>
      <c r="L377" s="16"/>
      <c r="M377" s="45"/>
      <c r="N377" s="161"/>
    </row>
    <row r="378" spans="1:14" ht="14.25">
      <c r="A378" s="5"/>
      <c r="B378" s="11"/>
      <c r="C378" s="12"/>
      <c r="D378" s="12" t="s">
        <v>9</v>
      </c>
      <c r="E378" s="19">
        <v>17</v>
      </c>
      <c r="F378" s="19">
        <v>17</v>
      </c>
      <c r="G378" s="34">
        <f>Q12</f>
        <v>182</v>
      </c>
      <c r="H378" s="16">
        <f t="shared" si="23"/>
        <v>3.09</v>
      </c>
      <c r="I378" s="16"/>
      <c r="J378" s="16"/>
      <c r="K378" s="16"/>
      <c r="L378" s="16"/>
      <c r="M378" s="45"/>
      <c r="N378" s="161"/>
    </row>
    <row r="379" spans="1:14" ht="14.25">
      <c r="A379" s="5"/>
      <c r="B379" s="11"/>
      <c r="C379" s="12"/>
      <c r="D379" s="12" t="s">
        <v>18</v>
      </c>
      <c r="E379" s="19">
        <v>6</v>
      </c>
      <c r="F379" s="19">
        <v>6</v>
      </c>
      <c r="G379" s="34">
        <f>Q30</f>
        <v>123</v>
      </c>
      <c r="H379" s="16">
        <f t="shared" si="23"/>
        <v>0.74</v>
      </c>
      <c r="I379" s="16">
        <v>13.96</v>
      </c>
      <c r="J379" s="16">
        <v>12.16</v>
      </c>
      <c r="K379" s="16">
        <v>15.83</v>
      </c>
      <c r="L379" s="16">
        <v>228.6</v>
      </c>
      <c r="M379" s="184">
        <v>703</v>
      </c>
      <c r="N379" s="161">
        <f>(I379+K379)*4+J379*9</f>
        <v>228.6</v>
      </c>
    </row>
    <row r="380" spans="1:14" ht="14.25">
      <c r="A380" s="5">
        <v>3</v>
      </c>
      <c r="B380" s="14" t="s">
        <v>91</v>
      </c>
      <c r="C380" s="5">
        <v>150</v>
      </c>
      <c r="D380" s="5" t="s">
        <v>7</v>
      </c>
      <c r="E380" s="5">
        <v>214</v>
      </c>
      <c r="F380" s="5">
        <v>128</v>
      </c>
      <c r="G380" s="34">
        <f>Q22</f>
        <v>57</v>
      </c>
      <c r="H380" s="16">
        <f t="shared" si="23"/>
        <v>12.2</v>
      </c>
      <c r="I380" s="16"/>
      <c r="J380" s="16"/>
      <c r="K380" s="16"/>
      <c r="L380" s="16"/>
      <c r="M380" s="45"/>
      <c r="N380" s="161"/>
    </row>
    <row r="381" spans="1:14" ht="14.25">
      <c r="A381" s="5"/>
      <c r="B381" s="31"/>
      <c r="C381" s="5"/>
      <c r="D381" s="5" t="s">
        <v>10</v>
      </c>
      <c r="E381" s="5">
        <v>30</v>
      </c>
      <c r="F381" s="5">
        <v>30</v>
      </c>
      <c r="G381" s="34">
        <f>Q10</f>
        <v>70</v>
      </c>
      <c r="H381" s="16">
        <f t="shared" si="23"/>
        <v>2.1</v>
      </c>
      <c r="I381" s="16"/>
      <c r="J381" s="16"/>
      <c r="K381" s="16"/>
      <c r="L381" s="16"/>
      <c r="M381" s="45"/>
      <c r="N381" s="161"/>
    </row>
    <row r="382" spans="1:14" ht="14.25">
      <c r="A382" s="5"/>
      <c r="B382" s="32"/>
      <c r="C382" s="28"/>
      <c r="D382" s="28" t="s">
        <v>28</v>
      </c>
      <c r="E382" s="5">
        <v>5</v>
      </c>
      <c r="F382" s="5">
        <v>5</v>
      </c>
      <c r="G382" s="34">
        <f>Q11</f>
        <v>490</v>
      </c>
      <c r="H382" s="16">
        <f t="shared" si="23"/>
        <v>2.45</v>
      </c>
      <c r="I382" s="16">
        <v>3.4</v>
      </c>
      <c r="J382" s="16">
        <v>6.06</v>
      </c>
      <c r="K382" s="16">
        <v>20.52</v>
      </c>
      <c r="L382" s="202">
        <f>(I382+K382)*4+J382*9</f>
        <v>150.22</v>
      </c>
      <c r="M382" s="203">
        <v>321</v>
      </c>
      <c r="N382" s="161">
        <f>(I382+K382)*4+J382*9</f>
        <v>150.22</v>
      </c>
    </row>
    <row r="383" spans="1:14" ht="14.25">
      <c r="A383" s="5">
        <v>4</v>
      </c>
      <c r="B383" s="31" t="s">
        <v>35</v>
      </c>
      <c r="C383" s="5">
        <v>50</v>
      </c>
      <c r="D383" s="5" t="s">
        <v>19</v>
      </c>
      <c r="E383" s="34">
        <v>50</v>
      </c>
      <c r="F383" s="34">
        <v>50</v>
      </c>
      <c r="G383" s="34">
        <f>Q66</f>
        <v>48</v>
      </c>
      <c r="H383" s="16">
        <f>G383*E383/1000</f>
        <v>2.4</v>
      </c>
      <c r="I383" s="202">
        <v>3.06</v>
      </c>
      <c r="J383" s="202">
        <v>9.54</v>
      </c>
      <c r="K383" s="202">
        <v>18.28</v>
      </c>
      <c r="L383" s="202">
        <f>(I383+K383)*4+J383*9</f>
        <v>171.22</v>
      </c>
      <c r="M383" s="203">
        <v>1</v>
      </c>
      <c r="N383" s="161">
        <f>(I383+K383)*4+J383*9</f>
        <v>171.22</v>
      </c>
    </row>
    <row r="384" spans="1:14" ht="14.25">
      <c r="A384" s="5">
        <v>5</v>
      </c>
      <c r="B384" s="14" t="s">
        <v>97</v>
      </c>
      <c r="C384" s="5">
        <v>200</v>
      </c>
      <c r="D384" s="5" t="s">
        <v>98</v>
      </c>
      <c r="E384" s="34">
        <v>24</v>
      </c>
      <c r="F384" s="34">
        <v>24</v>
      </c>
      <c r="G384" s="34">
        <f>Q61</f>
        <v>213</v>
      </c>
      <c r="H384" s="16">
        <f>E384*G384/1000</f>
        <v>5.11</v>
      </c>
      <c r="I384" s="16"/>
      <c r="J384" s="16"/>
      <c r="K384" s="16"/>
      <c r="L384" s="16"/>
      <c r="M384" s="45"/>
      <c r="N384" s="161"/>
    </row>
    <row r="385" spans="1:14" ht="14.25">
      <c r="A385" s="5"/>
      <c r="B385" s="14"/>
      <c r="C385" s="5"/>
      <c r="D385" s="5" t="s">
        <v>2</v>
      </c>
      <c r="E385" s="34">
        <v>10</v>
      </c>
      <c r="F385" s="34">
        <v>10</v>
      </c>
      <c r="G385" s="34">
        <f>Q56</f>
        <v>85</v>
      </c>
      <c r="H385" s="16">
        <f>E385*G385/1000</f>
        <v>0.85</v>
      </c>
      <c r="I385" s="208">
        <v>0.44</v>
      </c>
      <c r="J385" s="204">
        <v>0.02</v>
      </c>
      <c r="K385" s="204">
        <v>28.04</v>
      </c>
      <c r="L385" s="202">
        <f>(I385+K385)*4+J385*9</f>
        <v>114.1</v>
      </c>
      <c r="M385" s="203">
        <v>376</v>
      </c>
      <c r="N385" s="161">
        <f>(I385+K385)*4+J385*9</f>
        <v>114.1</v>
      </c>
    </row>
    <row r="386" spans="1:14" ht="14.25">
      <c r="A386" s="5"/>
      <c r="B386" s="14"/>
      <c r="C386" s="5"/>
      <c r="D386" s="5" t="s">
        <v>102</v>
      </c>
      <c r="E386" s="5">
        <v>0.0005</v>
      </c>
      <c r="F386" s="5">
        <v>0.0005</v>
      </c>
      <c r="G386" s="34"/>
      <c r="H386" s="16"/>
      <c r="I386" s="16"/>
      <c r="J386" s="16"/>
      <c r="K386" s="16"/>
      <c r="L386" s="16"/>
      <c r="M386" s="45"/>
      <c r="N386" s="161"/>
    </row>
    <row r="387" spans="1:14" ht="14.25">
      <c r="A387" s="5">
        <v>6</v>
      </c>
      <c r="B387" s="199" t="s">
        <v>137</v>
      </c>
      <c r="C387" s="144">
        <v>100</v>
      </c>
      <c r="D387" s="12" t="s">
        <v>138</v>
      </c>
      <c r="E387" s="145">
        <v>100</v>
      </c>
      <c r="F387" s="5"/>
      <c r="G387" s="34">
        <f>Q31</f>
        <v>112</v>
      </c>
      <c r="H387" s="16">
        <f>E387*G387/1000</f>
        <v>11.2</v>
      </c>
      <c r="I387" s="202">
        <v>0.4</v>
      </c>
      <c r="J387" s="202">
        <v>0.4</v>
      </c>
      <c r="K387" s="202">
        <v>9.8</v>
      </c>
      <c r="L387" s="202">
        <v>44.4</v>
      </c>
      <c r="M387" s="203">
        <v>368</v>
      </c>
      <c r="N387" s="161">
        <f>(I387+K387)*4+J387*9</f>
        <v>44.4</v>
      </c>
    </row>
    <row r="388" spans="1:14" ht="14.25">
      <c r="A388" s="5"/>
      <c r="B388" s="31"/>
      <c r="C388" s="5"/>
      <c r="D388" s="5" t="s">
        <v>170</v>
      </c>
      <c r="E388" s="5">
        <v>3</v>
      </c>
      <c r="F388" s="5">
        <v>3</v>
      </c>
      <c r="G388" s="5">
        <f>Q60</f>
        <v>24</v>
      </c>
      <c r="H388" s="16">
        <f>E388*G388/1000</f>
        <v>0.07</v>
      </c>
      <c r="I388" s="16"/>
      <c r="J388" s="16"/>
      <c r="K388" s="16"/>
      <c r="L388" s="16"/>
      <c r="M388" s="45"/>
      <c r="N388" s="161"/>
    </row>
    <row r="389" spans="1:14" ht="14.25">
      <c r="A389" s="5"/>
      <c r="B389" s="31"/>
      <c r="C389" s="5"/>
      <c r="D389" s="5" t="s">
        <v>94</v>
      </c>
      <c r="E389" s="5">
        <v>0.02</v>
      </c>
      <c r="F389" s="5">
        <v>0.02</v>
      </c>
      <c r="G389" s="5">
        <f>Q65</f>
        <v>483</v>
      </c>
      <c r="H389" s="16">
        <f>E389*G389/1000</f>
        <v>0.01</v>
      </c>
      <c r="I389" s="16"/>
      <c r="J389" s="16"/>
      <c r="K389" s="16"/>
      <c r="L389" s="16"/>
      <c r="M389" s="45"/>
      <c r="N389" s="161"/>
    </row>
    <row r="390" spans="1:14" ht="15">
      <c r="A390" s="5"/>
      <c r="B390" s="31"/>
      <c r="C390" s="209">
        <v>890</v>
      </c>
      <c r="D390" s="5"/>
      <c r="E390" s="34"/>
      <c r="F390" s="34"/>
      <c r="G390" s="34"/>
      <c r="H390" s="69">
        <f>SUM(H367:H389)</f>
        <v>68.47</v>
      </c>
      <c r="I390" s="69">
        <f>SUM(I367:I389)</f>
        <v>27.46</v>
      </c>
      <c r="J390" s="69">
        <f>SUM(J367:J389)</f>
        <v>33.69</v>
      </c>
      <c r="K390" s="69">
        <f>SUM(K367:K389)</f>
        <v>113.02</v>
      </c>
      <c r="L390" s="69">
        <f>SUM(L367:L389)</f>
        <v>865.13</v>
      </c>
      <c r="M390" s="156"/>
      <c r="N390" s="161">
        <f>(I390+K390)*4+J390*9</f>
        <v>865.13</v>
      </c>
    </row>
    <row r="391" spans="1:14" ht="15">
      <c r="A391" s="21"/>
      <c r="B391" s="75"/>
      <c r="C391" s="27"/>
      <c r="D391" s="27"/>
      <c r="N391" s="161"/>
    </row>
    <row r="392" spans="1:14" ht="15">
      <c r="A392" s="21"/>
      <c r="B392" s="75"/>
      <c r="C392" s="27"/>
      <c r="D392" s="27"/>
      <c r="N392" s="161"/>
    </row>
    <row r="393" spans="1:14" ht="15">
      <c r="A393" s="21"/>
      <c r="B393" s="75" t="s">
        <v>41</v>
      </c>
      <c r="C393" s="27"/>
      <c r="D393" s="27"/>
      <c r="N393" s="161"/>
    </row>
    <row r="394" spans="1:14" ht="28.5">
      <c r="A394" s="247" t="s">
        <v>3</v>
      </c>
      <c r="B394" s="8"/>
      <c r="C394" s="8" t="s">
        <v>4</v>
      </c>
      <c r="D394" s="247" t="s">
        <v>29</v>
      </c>
      <c r="E394" s="101" t="s">
        <v>12</v>
      </c>
      <c r="F394" s="101" t="s">
        <v>57</v>
      </c>
      <c r="G394" s="101" t="s">
        <v>30</v>
      </c>
      <c r="H394" s="101" t="s">
        <v>31</v>
      </c>
      <c r="I394" s="250" t="s">
        <v>70</v>
      </c>
      <c r="J394" s="250" t="s">
        <v>71</v>
      </c>
      <c r="K394" s="250" t="s">
        <v>72</v>
      </c>
      <c r="L394" s="250" t="s">
        <v>73</v>
      </c>
      <c r="M394" s="245" t="s">
        <v>150</v>
      </c>
      <c r="N394" s="161"/>
    </row>
    <row r="395" spans="1:14" ht="15">
      <c r="A395" s="252"/>
      <c r="B395" s="72" t="s">
        <v>144</v>
      </c>
      <c r="C395" s="25" t="s">
        <v>32</v>
      </c>
      <c r="D395" s="251"/>
      <c r="E395" s="5" t="s">
        <v>32</v>
      </c>
      <c r="F395" s="58" t="s">
        <v>32</v>
      </c>
      <c r="G395" s="5" t="s">
        <v>33</v>
      </c>
      <c r="H395" s="5" t="s">
        <v>34</v>
      </c>
      <c r="I395" s="248"/>
      <c r="J395" s="248"/>
      <c r="K395" s="248"/>
      <c r="L395" s="248"/>
      <c r="M395" s="254"/>
      <c r="N395" s="161"/>
    </row>
    <row r="396" spans="1:14" ht="14.25">
      <c r="A396" s="15">
        <v>1</v>
      </c>
      <c r="B396" s="14" t="s">
        <v>162</v>
      </c>
      <c r="C396" s="9" t="s">
        <v>236</v>
      </c>
      <c r="D396" s="8" t="s">
        <v>92</v>
      </c>
      <c r="E396" s="8">
        <v>143.5</v>
      </c>
      <c r="F396" s="8">
        <v>143</v>
      </c>
      <c r="G396" s="34">
        <f>Q13</f>
        <v>203</v>
      </c>
      <c r="H396" s="29">
        <f aca="true" t="shared" si="24" ref="H396:H407">E396*G396/1000</f>
        <v>29.13</v>
      </c>
      <c r="I396" s="16"/>
      <c r="J396" s="16"/>
      <c r="K396" s="16"/>
      <c r="L396" s="16"/>
      <c r="M396" s="45"/>
      <c r="N396" s="161"/>
    </row>
    <row r="397" spans="1:14" ht="14.25">
      <c r="A397" s="15"/>
      <c r="B397" s="14" t="s">
        <v>139</v>
      </c>
      <c r="C397" s="9"/>
      <c r="D397" s="8" t="s">
        <v>74</v>
      </c>
      <c r="E397" s="8">
        <v>20</v>
      </c>
      <c r="F397" s="8">
        <v>20</v>
      </c>
      <c r="G397" s="34">
        <f>Q45</f>
        <v>38</v>
      </c>
      <c r="H397" s="29">
        <f t="shared" si="24"/>
        <v>0.76</v>
      </c>
      <c r="I397" s="16"/>
      <c r="J397" s="16"/>
      <c r="K397" s="16"/>
      <c r="L397" s="16"/>
      <c r="M397" s="45"/>
      <c r="N397" s="161"/>
    </row>
    <row r="398" spans="1:14" ht="14.25">
      <c r="A398" s="15"/>
      <c r="B398" s="14"/>
      <c r="C398" s="9"/>
      <c r="D398" s="8" t="s">
        <v>2</v>
      </c>
      <c r="E398" s="8">
        <v>15</v>
      </c>
      <c r="F398" s="8">
        <v>15</v>
      </c>
      <c r="G398" s="34">
        <f>Q56</f>
        <v>85</v>
      </c>
      <c r="H398" s="29">
        <f t="shared" si="24"/>
        <v>1.28</v>
      </c>
      <c r="I398" s="16"/>
      <c r="J398" s="16"/>
      <c r="K398" s="16"/>
      <c r="L398" s="16"/>
      <c r="M398" s="45"/>
      <c r="N398" s="161"/>
    </row>
    <row r="399" spans="1:14" ht="14.25">
      <c r="A399" s="15"/>
      <c r="B399" s="14"/>
      <c r="C399" s="9"/>
      <c r="D399" s="8" t="s">
        <v>11</v>
      </c>
      <c r="E399" s="8">
        <v>0.16</v>
      </c>
      <c r="F399" s="8">
        <v>0.16</v>
      </c>
      <c r="G399" s="78">
        <f>Q5</f>
        <v>9.5</v>
      </c>
      <c r="H399" s="29">
        <f>E399*G399</f>
        <v>1.52</v>
      </c>
      <c r="I399" s="16"/>
      <c r="J399" s="16"/>
      <c r="K399" s="16"/>
      <c r="L399" s="16"/>
      <c r="M399" s="45"/>
      <c r="N399" s="161"/>
    </row>
    <row r="400" spans="1:14" ht="14.25">
      <c r="A400" s="15"/>
      <c r="B400" s="14"/>
      <c r="C400" s="9"/>
      <c r="D400" s="8" t="s">
        <v>28</v>
      </c>
      <c r="E400" s="8">
        <v>8</v>
      </c>
      <c r="F400" s="8">
        <v>8</v>
      </c>
      <c r="G400" s="34">
        <f>Q11</f>
        <v>490</v>
      </c>
      <c r="H400" s="29">
        <f t="shared" si="24"/>
        <v>3.92</v>
      </c>
      <c r="I400" s="16"/>
      <c r="J400" s="16"/>
      <c r="K400" s="16"/>
      <c r="L400" s="16"/>
      <c r="M400" s="45"/>
      <c r="N400" s="161"/>
    </row>
    <row r="401" spans="1:14" ht="14.25">
      <c r="A401" s="15"/>
      <c r="B401" s="14"/>
      <c r="C401" s="9"/>
      <c r="D401" s="8" t="s">
        <v>153</v>
      </c>
      <c r="E401" s="8">
        <v>12</v>
      </c>
      <c r="F401" s="8">
        <v>12</v>
      </c>
      <c r="G401" s="34">
        <f>Q66</f>
        <v>48</v>
      </c>
      <c r="H401" s="29">
        <f t="shared" si="24"/>
        <v>0.58</v>
      </c>
      <c r="I401" s="16"/>
      <c r="J401" s="16"/>
      <c r="K401" s="16"/>
      <c r="L401" s="16"/>
      <c r="M401" s="45"/>
      <c r="N401" s="161"/>
    </row>
    <row r="402" spans="1:14" ht="14.25">
      <c r="A402" s="15"/>
      <c r="B402" s="14"/>
      <c r="C402" s="9"/>
      <c r="D402" s="8" t="s">
        <v>9</v>
      </c>
      <c r="E402" s="8">
        <v>10</v>
      </c>
      <c r="F402" s="8">
        <v>10</v>
      </c>
      <c r="G402" s="34">
        <f>Q12</f>
        <v>182</v>
      </c>
      <c r="H402" s="29">
        <f t="shared" si="24"/>
        <v>1.82</v>
      </c>
      <c r="I402" s="16"/>
      <c r="J402" s="16"/>
      <c r="K402" s="16"/>
      <c r="L402" s="16"/>
      <c r="M402" s="45"/>
      <c r="N402" s="161"/>
    </row>
    <row r="403" spans="1:14" ht="14.25">
      <c r="A403" s="15"/>
      <c r="B403" s="14"/>
      <c r="C403" s="5"/>
      <c r="D403" s="5" t="s">
        <v>100</v>
      </c>
      <c r="E403" s="5">
        <v>30</v>
      </c>
      <c r="F403" s="5">
        <v>30</v>
      </c>
      <c r="G403" s="34">
        <f>Q21</f>
        <v>240</v>
      </c>
      <c r="H403" s="29">
        <f>E403*G403/1000</f>
        <v>7.2</v>
      </c>
      <c r="I403" s="16">
        <v>14.62</v>
      </c>
      <c r="J403" s="16">
        <v>23.8</v>
      </c>
      <c r="K403" s="16">
        <v>14.29</v>
      </c>
      <c r="L403" s="16">
        <v>329.84</v>
      </c>
      <c r="M403" s="45">
        <v>237</v>
      </c>
      <c r="N403" s="161">
        <f>(I403+K403)*4+J403*9</f>
        <v>329.84</v>
      </c>
    </row>
    <row r="404" spans="1:14" ht="14.25">
      <c r="A404" s="15">
        <v>2</v>
      </c>
      <c r="B404" s="2" t="s">
        <v>35</v>
      </c>
      <c r="C404" s="5">
        <v>50</v>
      </c>
      <c r="D404" s="8" t="s">
        <v>19</v>
      </c>
      <c r="E404" s="19">
        <v>50</v>
      </c>
      <c r="F404" s="19">
        <v>50</v>
      </c>
      <c r="G404" s="34">
        <f>Q66</f>
        <v>48</v>
      </c>
      <c r="H404" s="29">
        <f>E404*G404/1000</f>
        <v>2.4</v>
      </c>
      <c r="I404" s="202">
        <v>3.06</v>
      </c>
      <c r="J404" s="202">
        <v>9.54</v>
      </c>
      <c r="K404" s="202">
        <v>18.28</v>
      </c>
      <c r="L404" s="202">
        <f>(I404+K404)*4+J404*9</f>
        <v>171.22</v>
      </c>
      <c r="M404" s="203">
        <v>1</v>
      </c>
      <c r="N404" s="161">
        <f>(I404+K404)*4+J404*9</f>
        <v>171.22</v>
      </c>
    </row>
    <row r="405" spans="1:14" ht="14.25">
      <c r="A405" s="15">
        <v>3</v>
      </c>
      <c r="B405" s="234" t="s">
        <v>230</v>
      </c>
      <c r="C405" s="15">
        <v>200</v>
      </c>
      <c r="D405" s="8" t="s">
        <v>231</v>
      </c>
      <c r="E405" s="19">
        <v>200</v>
      </c>
      <c r="F405" s="19">
        <v>200</v>
      </c>
      <c r="G405" s="34">
        <f>Q38</f>
        <v>61</v>
      </c>
      <c r="H405" s="29">
        <f t="shared" si="24"/>
        <v>12.2</v>
      </c>
      <c r="I405" s="16">
        <v>1.04</v>
      </c>
      <c r="J405" s="16">
        <v>0</v>
      </c>
      <c r="K405" s="16">
        <v>24</v>
      </c>
      <c r="L405" s="16">
        <v>100.16</v>
      </c>
      <c r="M405" s="45"/>
      <c r="N405" s="161"/>
    </row>
    <row r="406" spans="1:14" ht="14.25">
      <c r="A406" s="5">
        <v>4</v>
      </c>
      <c r="B406" s="200" t="s">
        <v>189</v>
      </c>
      <c r="C406" s="34">
        <v>50</v>
      </c>
      <c r="D406" s="34" t="s">
        <v>229</v>
      </c>
      <c r="E406" s="5">
        <v>50</v>
      </c>
      <c r="F406" s="5">
        <v>50</v>
      </c>
      <c r="G406" s="34">
        <f>Q74</f>
        <v>153</v>
      </c>
      <c r="H406" s="29">
        <f t="shared" si="24"/>
        <v>7.65</v>
      </c>
      <c r="I406" s="16">
        <v>2.7</v>
      </c>
      <c r="J406" s="16">
        <v>0.9</v>
      </c>
      <c r="K406" s="16">
        <v>14.4</v>
      </c>
      <c r="L406" s="16">
        <v>76.5</v>
      </c>
      <c r="M406" s="45"/>
      <c r="N406" s="161">
        <f>(I406+K406)*4+J406*9</f>
        <v>76.5</v>
      </c>
    </row>
    <row r="407" spans="1:14" ht="14.25">
      <c r="A407" s="5"/>
      <c r="B407" s="32"/>
      <c r="C407" s="111"/>
      <c r="D407" s="28" t="s">
        <v>170</v>
      </c>
      <c r="E407" s="101">
        <v>0.5</v>
      </c>
      <c r="F407" s="101">
        <v>0.5</v>
      </c>
      <c r="G407" s="34">
        <f>Q60</f>
        <v>24</v>
      </c>
      <c r="H407" s="29">
        <f t="shared" si="24"/>
        <v>0.01</v>
      </c>
      <c r="I407" s="38"/>
      <c r="J407" s="38"/>
      <c r="K407" s="38"/>
      <c r="L407" s="38"/>
      <c r="M407" s="45"/>
      <c r="N407" s="161"/>
    </row>
    <row r="408" spans="1:14" ht="15">
      <c r="A408" s="2"/>
      <c r="B408" s="2"/>
      <c r="C408" s="209">
        <v>530</v>
      </c>
      <c r="D408" s="2"/>
      <c r="E408" s="2"/>
      <c r="F408" s="2"/>
      <c r="G408" s="2"/>
      <c r="H408" s="69">
        <f>SUM(H396:H407)</f>
        <v>68.47</v>
      </c>
      <c r="I408" s="69">
        <f>SUM(I396:I407)</f>
        <v>21.42</v>
      </c>
      <c r="J408" s="69">
        <f>SUM(J396:J407)</f>
        <v>34.24</v>
      </c>
      <c r="K408" s="69">
        <f>SUM(K396:K407)</f>
        <v>70.97</v>
      </c>
      <c r="L408" s="69">
        <f>SUM(L396:L407)</f>
        <v>677.72</v>
      </c>
      <c r="M408" s="152"/>
      <c r="N408" s="161">
        <f>(I408+K408)*4+J408*9</f>
        <v>677.72</v>
      </c>
    </row>
    <row r="409" spans="1:14" ht="15">
      <c r="A409" s="28"/>
      <c r="B409" s="73" t="s">
        <v>145</v>
      </c>
      <c r="C409" s="28"/>
      <c r="D409" s="28"/>
      <c r="E409" s="28"/>
      <c r="F409" s="28"/>
      <c r="G409" s="28"/>
      <c r="H409" s="29"/>
      <c r="I409" s="16"/>
      <c r="J409" s="16"/>
      <c r="K409" s="16"/>
      <c r="L409" s="16"/>
      <c r="M409" s="45"/>
      <c r="N409" s="161"/>
    </row>
    <row r="410" spans="1:14" ht="14.25">
      <c r="A410" s="5">
        <v>1</v>
      </c>
      <c r="B410" s="14" t="s">
        <v>126</v>
      </c>
      <c r="C410" s="143">
        <v>200</v>
      </c>
      <c r="D410" s="5" t="s">
        <v>7</v>
      </c>
      <c r="E410" s="5">
        <v>104</v>
      </c>
      <c r="F410" s="5">
        <v>77</v>
      </c>
      <c r="G410" s="5">
        <f>Q22</f>
        <v>57</v>
      </c>
      <c r="H410" s="29">
        <f aca="true" t="shared" si="25" ref="H410:H415">E410*G410/1000</f>
        <v>5.93</v>
      </c>
      <c r="I410" s="16"/>
      <c r="J410" s="16"/>
      <c r="K410" s="16"/>
      <c r="L410" s="16"/>
      <c r="M410" s="45"/>
      <c r="N410" s="161"/>
    </row>
    <row r="411" spans="1:14" ht="14.25">
      <c r="A411" s="5"/>
      <c r="B411" s="8"/>
      <c r="C411" s="15"/>
      <c r="D411" s="5" t="s">
        <v>1</v>
      </c>
      <c r="E411" s="5">
        <v>8</v>
      </c>
      <c r="F411" s="5">
        <v>8</v>
      </c>
      <c r="G411" s="5">
        <f>Q49</f>
        <v>98</v>
      </c>
      <c r="H411" s="29">
        <f t="shared" si="25"/>
        <v>0.78</v>
      </c>
      <c r="I411" s="16"/>
      <c r="J411" s="16"/>
      <c r="K411" s="16"/>
      <c r="L411" s="16"/>
      <c r="M411" s="45"/>
      <c r="N411" s="161"/>
    </row>
    <row r="412" spans="1:14" ht="14.25">
      <c r="A412" s="5"/>
      <c r="B412" s="8"/>
      <c r="C412" s="15"/>
      <c r="D412" s="5" t="s">
        <v>8</v>
      </c>
      <c r="E412" s="5">
        <v>11</v>
      </c>
      <c r="F412" s="5">
        <v>9</v>
      </c>
      <c r="G412" s="5">
        <f>Q25</f>
        <v>66</v>
      </c>
      <c r="H412" s="29">
        <f t="shared" si="25"/>
        <v>0.73</v>
      </c>
      <c r="I412" s="16"/>
      <c r="J412" s="16"/>
      <c r="K412" s="16"/>
      <c r="L412" s="16"/>
      <c r="M412" s="45"/>
      <c r="N412" s="161"/>
    </row>
    <row r="413" spans="1:14" ht="14.25">
      <c r="A413" s="5"/>
      <c r="B413" s="8"/>
      <c r="C413" s="15"/>
      <c r="D413" s="5" t="s">
        <v>24</v>
      </c>
      <c r="E413" s="5">
        <v>9</v>
      </c>
      <c r="F413" s="5">
        <v>8</v>
      </c>
      <c r="G413" s="5">
        <f>Q24</f>
        <v>46</v>
      </c>
      <c r="H413" s="29">
        <f t="shared" si="25"/>
        <v>0.41</v>
      </c>
      <c r="I413" s="16"/>
      <c r="J413" s="16"/>
      <c r="K413" s="16"/>
      <c r="L413" s="16"/>
      <c r="M413" s="45"/>
      <c r="N413" s="161"/>
    </row>
    <row r="414" spans="1:14" ht="14.25">
      <c r="A414" s="5"/>
      <c r="B414" s="8"/>
      <c r="C414" s="15"/>
      <c r="D414" s="5" t="s">
        <v>26</v>
      </c>
      <c r="E414" s="5">
        <v>5</v>
      </c>
      <c r="F414" s="5">
        <v>5</v>
      </c>
      <c r="G414" s="149">
        <f>Q39</f>
        <v>138</v>
      </c>
      <c r="H414" s="29">
        <f>E414*G414/1000</f>
        <v>0.69</v>
      </c>
      <c r="I414" s="16">
        <v>2.47</v>
      </c>
      <c r="J414" s="16">
        <v>4.32</v>
      </c>
      <c r="K414" s="16">
        <v>15.74</v>
      </c>
      <c r="L414" s="16">
        <v>111.72</v>
      </c>
      <c r="M414" s="177">
        <v>219</v>
      </c>
      <c r="N414" s="161">
        <f>(I414+K414)*4+J414*9</f>
        <v>111.72</v>
      </c>
    </row>
    <row r="415" spans="1:14" ht="14.25">
      <c r="A415" s="5">
        <v>2</v>
      </c>
      <c r="B415" s="185" t="s">
        <v>217</v>
      </c>
      <c r="C415" s="181" t="s">
        <v>219</v>
      </c>
      <c r="D415" s="172" t="s">
        <v>16</v>
      </c>
      <c r="E415" s="172">
        <v>58</v>
      </c>
      <c r="F415" s="172">
        <v>58</v>
      </c>
      <c r="G415" s="18">
        <f>Q6</f>
        <v>607</v>
      </c>
      <c r="H415" s="10">
        <f t="shared" si="25"/>
        <v>35.21</v>
      </c>
      <c r="I415" s="10"/>
      <c r="J415" s="10"/>
      <c r="K415" s="10"/>
      <c r="L415" s="10"/>
      <c r="M415" s="166"/>
      <c r="N415" s="161"/>
    </row>
    <row r="416" spans="1:18" ht="15">
      <c r="A416" s="5"/>
      <c r="B416" s="185"/>
      <c r="C416" s="172"/>
      <c r="D416" s="187" t="s">
        <v>19</v>
      </c>
      <c r="E416" s="172">
        <v>12</v>
      </c>
      <c r="F416" s="172">
        <v>12</v>
      </c>
      <c r="G416" s="34">
        <f>Q66</f>
        <v>48</v>
      </c>
      <c r="H416" s="16">
        <f aca="true" t="shared" si="26" ref="H416:H425">G416*E416/1000</f>
        <v>0.58</v>
      </c>
      <c r="I416" s="16"/>
      <c r="J416" s="16"/>
      <c r="K416" s="16"/>
      <c r="L416" s="16"/>
      <c r="M416" s="45"/>
      <c r="N416" s="161"/>
      <c r="R416" s="43"/>
    </row>
    <row r="417" spans="1:18" ht="15">
      <c r="A417" s="5"/>
      <c r="B417" s="185"/>
      <c r="C417" s="172"/>
      <c r="D417" s="187" t="s">
        <v>185</v>
      </c>
      <c r="E417" s="172">
        <v>11</v>
      </c>
      <c r="F417" s="172">
        <v>11</v>
      </c>
      <c r="G417" s="34">
        <f>Q66</f>
        <v>48</v>
      </c>
      <c r="H417" s="16">
        <f t="shared" si="26"/>
        <v>0.53</v>
      </c>
      <c r="I417" s="16"/>
      <c r="J417" s="16"/>
      <c r="K417" s="16"/>
      <c r="L417" s="16"/>
      <c r="M417" s="45"/>
      <c r="N417" s="161"/>
      <c r="R417" s="43"/>
    </row>
    <row r="418" spans="1:18" ht="15">
      <c r="A418" s="5"/>
      <c r="B418" s="185"/>
      <c r="C418" s="172"/>
      <c r="D418" s="187" t="s">
        <v>6</v>
      </c>
      <c r="E418" s="172">
        <v>13</v>
      </c>
      <c r="F418" s="172">
        <v>11</v>
      </c>
      <c r="G418" s="45">
        <f>Q24</f>
        <v>46</v>
      </c>
      <c r="H418" s="16">
        <f>G418*E418/1000</f>
        <v>0.6</v>
      </c>
      <c r="I418" s="16"/>
      <c r="J418" s="16"/>
      <c r="K418" s="16"/>
      <c r="L418" s="16"/>
      <c r="M418" s="45"/>
      <c r="N418" s="161"/>
      <c r="R418" s="43"/>
    </row>
    <row r="419" spans="1:18" ht="15">
      <c r="A419" s="5"/>
      <c r="B419" s="185"/>
      <c r="C419" s="172"/>
      <c r="D419" s="187" t="s">
        <v>11</v>
      </c>
      <c r="E419" s="172">
        <v>0.12</v>
      </c>
      <c r="F419" s="172">
        <v>0.12</v>
      </c>
      <c r="G419" s="78">
        <f>Q5</f>
        <v>9.5</v>
      </c>
      <c r="H419" s="16">
        <f>G419*E419</f>
        <v>1.14</v>
      </c>
      <c r="I419" s="16"/>
      <c r="J419" s="16"/>
      <c r="K419" s="16"/>
      <c r="L419" s="16"/>
      <c r="M419" s="45"/>
      <c r="N419" s="161"/>
      <c r="R419" s="43"/>
    </row>
    <row r="420" spans="1:18" ht="15">
      <c r="A420" s="5"/>
      <c r="B420" s="190"/>
      <c r="C420" s="191"/>
      <c r="D420" s="187" t="s">
        <v>26</v>
      </c>
      <c r="E420" s="172">
        <v>4</v>
      </c>
      <c r="F420" s="172">
        <v>4</v>
      </c>
      <c r="G420" s="34">
        <f>Q39</f>
        <v>138</v>
      </c>
      <c r="H420" s="16">
        <f t="shared" si="26"/>
        <v>0.55</v>
      </c>
      <c r="I420" s="176">
        <v>10.88</v>
      </c>
      <c r="J420" s="176">
        <v>8.25</v>
      </c>
      <c r="K420" s="176">
        <v>20.88</v>
      </c>
      <c r="L420" s="176">
        <v>201.29</v>
      </c>
      <c r="M420" s="177">
        <v>658</v>
      </c>
      <c r="N420" s="161">
        <f aca="true" t="shared" si="27" ref="N420:N426">(I420+K420)*4+J420*9</f>
        <v>201.29</v>
      </c>
      <c r="R420" s="43"/>
    </row>
    <row r="421" spans="1:18" ht="15">
      <c r="A421" s="5"/>
      <c r="B421" s="190"/>
      <c r="C421" s="191"/>
      <c r="D421" s="192" t="s">
        <v>9</v>
      </c>
      <c r="E421" s="191">
        <v>12</v>
      </c>
      <c r="F421" s="191">
        <v>12</v>
      </c>
      <c r="G421" s="102">
        <f>Q12</f>
        <v>182</v>
      </c>
      <c r="H421" s="16">
        <f t="shared" si="26"/>
        <v>2.18</v>
      </c>
      <c r="I421" s="176"/>
      <c r="J421" s="176"/>
      <c r="K421" s="176"/>
      <c r="L421" s="176"/>
      <c r="M421" s="177"/>
      <c r="N421" s="161"/>
      <c r="R421" s="43"/>
    </row>
    <row r="422" spans="1:18" ht="15">
      <c r="A422" s="28"/>
      <c r="B422" s="190"/>
      <c r="C422" s="191"/>
      <c r="D422" s="192" t="s">
        <v>74</v>
      </c>
      <c r="E422" s="191">
        <v>4</v>
      </c>
      <c r="F422" s="191">
        <v>4</v>
      </c>
      <c r="G422" s="102">
        <f>Q45</f>
        <v>38</v>
      </c>
      <c r="H422" s="16">
        <f t="shared" si="26"/>
        <v>0.15</v>
      </c>
      <c r="I422" s="176"/>
      <c r="J422" s="176"/>
      <c r="K422" s="176"/>
      <c r="L422" s="176"/>
      <c r="M422" s="177"/>
      <c r="N422" s="161"/>
      <c r="R422" s="43"/>
    </row>
    <row r="423" spans="1:18" ht="15">
      <c r="A423" s="28"/>
      <c r="B423" s="190"/>
      <c r="C423" s="191"/>
      <c r="D423" s="192" t="s">
        <v>18</v>
      </c>
      <c r="E423" s="191">
        <v>5</v>
      </c>
      <c r="F423" s="191">
        <v>5</v>
      </c>
      <c r="G423" s="102">
        <f>Q30</f>
        <v>123</v>
      </c>
      <c r="H423" s="16">
        <f t="shared" si="26"/>
        <v>0.62</v>
      </c>
      <c r="I423" s="176">
        <v>0.88</v>
      </c>
      <c r="J423" s="176">
        <v>2.5</v>
      </c>
      <c r="K423" s="176">
        <v>3.51</v>
      </c>
      <c r="L423" s="176">
        <v>40.06</v>
      </c>
      <c r="M423" s="177">
        <v>355</v>
      </c>
      <c r="N423" s="161">
        <f t="shared" si="27"/>
        <v>40.06</v>
      </c>
      <c r="R423" s="43"/>
    </row>
    <row r="424" spans="1:18" ht="15">
      <c r="A424" s="28">
        <v>3</v>
      </c>
      <c r="B424" s="193" t="s">
        <v>131</v>
      </c>
      <c r="C424" s="172">
        <v>150</v>
      </c>
      <c r="D424" s="187" t="s">
        <v>129</v>
      </c>
      <c r="E424" s="172">
        <v>52</v>
      </c>
      <c r="F424" s="172">
        <v>52</v>
      </c>
      <c r="G424" s="102">
        <f>Q46</f>
        <v>122</v>
      </c>
      <c r="H424" s="16">
        <f t="shared" si="26"/>
        <v>6.34</v>
      </c>
      <c r="I424" s="78"/>
      <c r="J424" s="78"/>
      <c r="K424" s="78"/>
      <c r="L424" s="78"/>
      <c r="M424" s="183"/>
      <c r="N424" s="161"/>
      <c r="R424" s="43"/>
    </row>
    <row r="425" spans="1:18" ht="15">
      <c r="A425" s="28"/>
      <c r="B425" s="194"/>
      <c r="C425" s="172"/>
      <c r="D425" s="187" t="s">
        <v>28</v>
      </c>
      <c r="E425" s="172">
        <v>5</v>
      </c>
      <c r="F425" s="172">
        <v>5</v>
      </c>
      <c r="G425" s="102">
        <f>Q11</f>
        <v>490</v>
      </c>
      <c r="H425" s="16">
        <f t="shared" si="26"/>
        <v>2.45</v>
      </c>
      <c r="I425" s="16">
        <v>8.63</v>
      </c>
      <c r="J425" s="16">
        <v>6.03</v>
      </c>
      <c r="K425" s="16">
        <v>38.64</v>
      </c>
      <c r="L425" s="16">
        <v>243.35</v>
      </c>
      <c r="M425" s="177">
        <v>302</v>
      </c>
      <c r="N425" s="161">
        <f t="shared" si="27"/>
        <v>243.35</v>
      </c>
      <c r="R425" s="43"/>
    </row>
    <row r="426" spans="1:18" ht="14.25">
      <c r="A426" s="28">
        <v>4</v>
      </c>
      <c r="B426" s="32" t="s">
        <v>35</v>
      </c>
      <c r="C426" s="28">
        <v>50</v>
      </c>
      <c r="D426" s="28" t="s">
        <v>19</v>
      </c>
      <c r="E426" s="28">
        <v>50</v>
      </c>
      <c r="F426" s="28">
        <v>50</v>
      </c>
      <c r="G426" s="28">
        <f>Q66</f>
        <v>48</v>
      </c>
      <c r="H426" s="29">
        <f aca="true" t="shared" si="28" ref="H426:H432">E426*G426/1000</f>
        <v>2.4</v>
      </c>
      <c r="I426" s="202">
        <v>3.06</v>
      </c>
      <c r="J426" s="202">
        <v>9.54</v>
      </c>
      <c r="K426" s="202">
        <v>18.28</v>
      </c>
      <c r="L426" s="202">
        <f>(I426+K426)*4+J426*9</f>
        <v>171.22</v>
      </c>
      <c r="M426" s="203">
        <v>1</v>
      </c>
      <c r="N426" s="161">
        <f t="shared" si="27"/>
        <v>171.22</v>
      </c>
      <c r="R426" s="44"/>
    </row>
    <row r="427" spans="1:18" ht="14.25">
      <c r="A427" s="5">
        <v>5</v>
      </c>
      <c r="B427" s="31" t="s">
        <v>25</v>
      </c>
      <c r="C427" s="5">
        <v>200</v>
      </c>
      <c r="D427" s="5" t="s">
        <v>20</v>
      </c>
      <c r="E427" s="5">
        <v>14</v>
      </c>
      <c r="F427" s="5">
        <v>14</v>
      </c>
      <c r="G427" s="5">
        <f>Q35</f>
        <v>148</v>
      </c>
      <c r="H427" s="29">
        <f t="shared" si="28"/>
        <v>2.07</v>
      </c>
      <c r="I427" s="202"/>
      <c r="J427" s="202"/>
      <c r="K427" s="202"/>
      <c r="L427" s="202"/>
      <c r="M427" s="203"/>
      <c r="N427" s="161"/>
      <c r="R427" s="44"/>
    </row>
    <row r="428" spans="1:18" ht="14.25">
      <c r="A428" s="5"/>
      <c r="B428" s="5"/>
      <c r="C428" s="5"/>
      <c r="D428" s="5" t="s">
        <v>2</v>
      </c>
      <c r="E428" s="5">
        <v>14</v>
      </c>
      <c r="F428" s="5">
        <v>14</v>
      </c>
      <c r="G428" s="5">
        <f>Q56</f>
        <v>85</v>
      </c>
      <c r="H428" s="29">
        <f t="shared" si="28"/>
        <v>1.19</v>
      </c>
      <c r="I428" s="205">
        <v>0.04</v>
      </c>
      <c r="J428" s="205">
        <v>0</v>
      </c>
      <c r="K428" s="205">
        <v>24.76</v>
      </c>
      <c r="L428" s="202">
        <f>(I428+K428)*4+J428*9</f>
        <v>99.2</v>
      </c>
      <c r="M428" s="203">
        <v>349</v>
      </c>
      <c r="N428" s="161">
        <f>(I428+K428)*4+J428*9</f>
        <v>99.2</v>
      </c>
      <c r="R428" s="44"/>
    </row>
    <row r="429" spans="1:18" ht="14.25">
      <c r="A429" s="5"/>
      <c r="B429" s="31"/>
      <c r="C429" s="5"/>
      <c r="D429" s="5" t="s">
        <v>102</v>
      </c>
      <c r="E429" s="5">
        <v>0.0005</v>
      </c>
      <c r="F429" s="5">
        <v>0.0005</v>
      </c>
      <c r="G429" s="5"/>
      <c r="H429" s="29"/>
      <c r="I429" s="16"/>
      <c r="J429" s="16"/>
      <c r="K429" s="16"/>
      <c r="L429" s="16"/>
      <c r="M429" s="45"/>
      <c r="N429" s="161"/>
      <c r="R429" s="44"/>
    </row>
    <row r="430" spans="1:18" ht="14.25">
      <c r="A430" s="5">
        <v>6</v>
      </c>
      <c r="B430" s="200" t="s">
        <v>189</v>
      </c>
      <c r="C430" s="34">
        <v>25</v>
      </c>
      <c r="D430" s="34" t="s">
        <v>229</v>
      </c>
      <c r="E430" s="5">
        <v>25</v>
      </c>
      <c r="F430" s="5">
        <v>25</v>
      </c>
      <c r="G430" s="5">
        <f>Q74</f>
        <v>153</v>
      </c>
      <c r="H430" s="29">
        <f t="shared" si="28"/>
        <v>3.83</v>
      </c>
      <c r="I430" s="16">
        <v>1.88</v>
      </c>
      <c r="J430" s="16">
        <v>2.95</v>
      </c>
      <c r="K430" s="16">
        <v>18.73</v>
      </c>
      <c r="L430" s="16">
        <v>108.99</v>
      </c>
      <c r="M430" s="203">
        <v>368</v>
      </c>
      <c r="N430" s="161">
        <f>(I430+K430)*4+J430*9</f>
        <v>108.99</v>
      </c>
      <c r="R430" s="44"/>
    </row>
    <row r="431" spans="1:14" ht="14.25">
      <c r="A431" s="5"/>
      <c r="B431" s="14"/>
      <c r="C431" s="5"/>
      <c r="D431" s="5" t="s">
        <v>170</v>
      </c>
      <c r="E431" s="5">
        <v>3.5</v>
      </c>
      <c r="F431" s="5">
        <v>3.5</v>
      </c>
      <c r="G431" s="5">
        <f>Q60</f>
        <v>24</v>
      </c>
      <c r="H431" s="16">
        <f t="shared" si="28"/>
        <v>0.08</v>
      </c>
      <c r="I431" s="16"/>
      <c r="J431" s="16"/>
      <c r="K431" s="16"/>
      <c r="L431" s="16"/>
      <c r="M431" s="45"/>
      <c r="N431" s="161"/>
    </row>
    <row r="432" spans="1:14" ht="14.25">
      <c r="A432" s="5"/>
      <c r="B432" s="14"/>
      <c r="C432" s="5"/>
      <c r="D432" s="5" t="s">
        <v>94</v>
      </c>
      <c r="E432" s="5">
        <v>0.02</v>
      </c>
      <c r="F432" s="5">
        <v>0.02</v>
      </c>
      <c r="G432" s="5">
        <f>Q65</f>
        <v>483</v>
      </c>
      <c r="H432" s="16">
        <f t="shared" si="28"/>
        <v>0.01</v>
      </c>
      <c r="I432" s="16"/>
      <c r="J432" s="16"/>
      <c r="K432" s="16"/>
      <c r="L432" s="16"/>
      <c r="M432" s="45"/>
      <c r="N432" s="161"/>
    </row>
    <row r="433" spans="1:14" ht="15">
      <c r="A433" s="2"/>
      <c r="B433" s="5"/>
      <c r="C433" s="209">
        <v>745</v>
      </c>
      <c r="D433" s="5"/>
      <c r="E433" s="5"/>
      <c r="F433" s="5"/>
      <c r="G433" s="5"/>
      <c r="H433" s="69">
        <f>SUM(H410:H432)</f>
        <v>68.47</v>
      </c>
      <c r="I433" s="69">
        <f>SUM(I410:I432)</f>
        <v>27.84</v>
      </c>
      <c r="J433" s="69">
        <f>SUM(J410:J432)</f>
        <v>33.59</v>
      </c>
      <c r="K433" s="69">
        <f>SUM(K410:K432)</f>
        <v>140.54</v>
      </c>
      <c r="L433" s="69">
        <f>SUM(L410:L432)</f>
        <v>975.83</v>
      </c>
      <c r="M433" s="156"/>
      <c r="N433" s="161">
        <f>(I433+K433)*4+J433*9</f>
        <v>975.83</v>
      </c>
    </row>
    <row r="434" spans="1:14" ht="15">
      <c r="A434" s="27"/>
      <c r="B434" s="75"/>
      <c r="C434" s="27"/>
      <c r="D434" s="27"/>
      <c r="N434" s="161"/>
    </row>
    <row r="435" spans="1:14" ht="15">
      <c r="A435" s="27"/>
      <c r="B435" s="75"/>
      <c r="C435" s="27"/>
      <c r="D435" s="27"/>
      <c r="N435" s="161"/>
    </row>
    <row r="436" spans="1:14" s="71" customFormat="1" ht="15">
      <c r="A436" s="235"/>
      <c r="B436" s="75" t="s">
        <v>42</v>
      </c>
      <c r="C436" s="231"/>
      <c r="D436" s="231"/>
      <c r="M436" s="162"/>
      <c r="N436" s="197"/>
    </row>
    <row r="437" spans="1:14" ht="28.5">
      <c r="A437" s="247" t="s">
        <v>3</v>
      </c>
      <c r="B437" s="8"/>
      <c r="C437" s="8" t="s">
        <v>4</v>
      </c>
      <c r="D437" s="247" t="s">
        <v>29</v>
      </c>
      <c r="E437" s="101" t="s">
        <v>12</v>
      </c>
      <c r="F437" s="101" t="s">
        <v>57</v>
      </c>
      <c r="G437" s="101" t="s">
        <v>30</v>
      </c>
      <c r="H437" s="101" t="s">
        <v>31</v>
      </c>
      <c r="I437" s="250" t="s">
        <v>70</v>
      </c>
      <c r="J437" s="250" t="s">
        <v>71</v>
      </c>
      <c r="K437" s="250" t="s">
        <v>72</v>
      </c>
      <c r="L437" s="250" t="s">
        <v>73</v>
      </c>
      <c r="M437" s="245" t="s">
        <v>150</v>
      </c>
      <c r="N437" s="161"/>
    </row>
    <row r="438" spans="1:14" ht="15">
      <c r="A438" s="248"/>
      <c r="B438" s="72" t="s">
        <v>144</v>
      </c>
      <c r="C438" s="8" t="s">
        <v>32</v>
      </c>
      <c r="D438" s="251"/>
      <c r="E438" s="5" t="s">
        <v>32</v>
      </c>
      <c r="F438" s="5" t="s">
        <v>32</v>
      </c>
      <c r="G438" s="5" t="s">
        <v>33</v>
      </c>
      <c r="H438" s="5" t="s">
        <v>34</v>
      </c>
      <c r="I438" s="248"/>
      <c r="J438" s="248"/>
      <c r="K438" s="248"/>
      <c r="L438" s="248"/>
      <c r="M438" s="254"/>
      <c r="N438" s="161"/>
    </row>
    <row r="439" spans="1:14" ht="14.25">
      <c r="A439" s="5">
        <v>1</v>
      </c>
      <c r="B439" s="11" t="s">
        <v>158</v>
      </c>
      <c r="C439" s="12">
        <v>85</v>
      </c>
      <c r="D439" s="12" t="s">
        <v>16</v>
      </c>
      <c r="E439" s="19">
        <v>69</v>
      </c>
      <c r="F439" s="19">
        <v>69</v>
      </c>
      <c r="G439" s="5">
        <f>Q6</f>
        <v>607</v>
      </c>
      <c r="H439" s="16">
        <f aca="true" t="shared" si="29" ref="H439:H450">G439*E439/1000</f>
        <v>41.88</v>
      </c>
      <c r="I439" s="16"/>
      <c r="J439" s="16"/>
      <c r="K439" s="16"/>
      <c r="L439" s="16"/>
      <c r="M439" s="45"/>
      <c r="N439" s="161"/>
    </row>
    <row r="440" spans="1:14" ht="14.25">
      <c r="A440" s="2"/>
      <c r="B440" s="11"/>
      <c r="C440" s="13"/>
      <c r="D440" s="12" t="s">
        <v>6</v>
      </c>
      <c r="E440" s="19">
        <v>22</v>
      </c>
      <c r="F440" s="19">
        <v>20</v>
      </c>
      <c r="G440" s="5">
        <f>Q24</f>
        <v>46</v>
      </c>
      <c r="H440" s="16">
        <f t="shared" si="29"/>
        <v>1.01</v>
      </c>
      <c r="I440" s="16"/>
      <c r="J440" s="16"/>
      <c r="K440" s="16"/>
      <c r="L440" s="16"/>
      <c r="M440" s="45"/>
      <c r="N440" s="161"/>
    </row>
    <row r="441" spans="1:14" ht="14.25">
      <c r="A441" s="5"/>
      <c r="B441" s="11"/>
      <c r="C441" s="12"/>
      <c r="D441" s="12" t="s">
        <v>26</v>
      </c>
      <c r="E441" s="19">
        <v>4</v>
      </c>
      <c r="F441" s="19">
        <v>4</v>
      </c>
      <c r="G441" s="184">
        <f>Q39</f>
        <v>138</v>
      </c>
      <c r="H441" s="16">
        <f t="shared" si="29"/>
        <v>0.55</v>
      </c>
      <c r="I441" s="16"/>
      <c r="J441" s="16"/>
      <c r="K441" s="16"/>
      <c r="L441" s="16"/>
      <c r="M441" s="45"/>
      <c r="N441" s="161"/>
    </row>
    <row r="442" spans="1:14" ht="14.25">
      <c r="A442" s="5"/>
      <c r="B442" s="31"/>
      <c r="C442" s="5"/>
      <c r="D442" s="5" t="s">
        <v>74</v>
      </c>
      <c r="E442" s="5">
        <v>4</v>
      </c>
      <c r="F442" s="5">
        <v>4</v>
      </c>
      <c r="G442" s="184">
        <f>Q45</f>
        <v>38</v>
      </c>
      <c r="H442" s="16">
        <f t="shared" si="29"/>
        <v>0.15</v>
      </c>
      <c r="I442" s="16"/>
      <c r="J442" s="16"/>
      <c r="K442" s="16"/>
      <c r="L442" s="16"/>
      <c r="M442" s="45"/>
      <c r="N442" s="161"/>
    </row>
    <row r="443" spans="1:14" ht="14.25">
      <c r="A443" s="5"/>
      <c r="B443" s="31"/>
      <c r="C443" s="5"/>
      <c r="D443" s="8" t="s">
        <v>9</v>
      </c>
      <c r="E443" s="5">
        <v>21</v>
      </c>
      <c r="F443" s="5">
        <v>21</v>
      </c>
      <c r="G443" s="184">
        <f>Q12</f>
        <v>182</v>
      </c>
      <c r="H443" s="16">
        <f t="shared" si="29"/>
        <v>3.82</v>
      </c>
      <c r="I443" s="204">
        <v>10.99</v>
      </c>
      <c r="J443" s="204">
        <v>19.48</v>
      </c>
      <c r="K443" s="204">
        <v>2.33</v>
      </c>
      <c r="L443" s="202">
        <v>228.6</v>
      </c>
      <c r="M443" s="203">
        <v>278</v>
      </c>
      <c r="N443" s="161">
        <f>(I443+K443)*4+J443*9</f>
        <v>228.6</v>
      </c>
    </row>
    <row r="444" spans="1:14" ht="14.25">
      <c r="A444" s="5">
        <v>2</v>
      </c>
      <c r="B444" s="185" t="s">
        <v>186</v>
      </c>
      <c r="C444" s="174">
        <v>150</v>
      </c>
      <c r="D444" s="12" t="s">
        <v>187</v>
      </c>
      <c r="E444" s="12">
        <v>35</v>
      </c>
      <c r="F444" s="195">
        <v>35</v>
      </c>
      <c r="G444" s="5">
        <f>Q50</f>
        <v>61</v>
      </c>
      <c r="H444" s="16">
        <f t="shared" si="29"/>
        <v>2.14</v>
      </c>
      <c r="I444" s="16"/>
      <c r="J444" s="16"/>
      <c r="K444" s="16"/>
      <c r="L444" s="16"/>
      <c r="M444" s="45"/>
      <c r="N444" s="161"/>
    </row>
    <row r="445" spans="1:14" ht="14.25">
      <c r="A445" s="5"/>
      <c r="B445" s="185"/>
      <c r="C445" s="174"/>
      <c r="D445" s="12" t="s">
        <v>28</v>
      </c>
      <c r="E445" s="12">
        <v>6</v>
      </c>
      <c r="F445" s="195">
        <v>6</v>
      </c>
      <c r="G445" s="5">
        <f>Q11</f>
        <v>490</v>
      </c>
      <c r="H445" s="16">
        <f t="shared" si="29"/>
        <v>2.94</v>
      </c>
      <c r="I445" s="176">
        <v>3.94</v>
      </c>
      <c r="J445" s="176">
        <v>1.66</v>
      </c>
      <c r="K445" s="176">
        <v>25.05</v>
      </c>
      <c r="L445" s="176">
        <v>130.9</v>
      </c>
      <c r="M445" s="177">
        <v>744</v>
      </c>
      <c r="N445" s="161">
        <f>(I445+K445)*4+J445*9</f>
        <v>130.9</v>
      </c>
    </row>
    <row r="446" spans="1:14" ht="14.25">
      <c r="A446" s="5">
        <v>3</v>
      </c>
      <c r="B446" s="31" t="s">
        <v>164</v>
      </c>
      <c r="C446" s="15">
        <v>30</v>
      </c>
      <c r="D446" s="5" t="s">
        <v>169</v>
      </c>
      <c r="E446" s="5">
        <v>43</v>
      </c>
      <c r="F446" s="5">
        <v>36</v>
      </c>
      <c r="G446" s="5">
        <f>Q29</f>
        <v>120</v>
      </c>
      <c r="H446" s="16">
        <f t="shared" si="29"/>
        <v>5.16</v>
      </c>
      <c r="I446" s="204"/>
      <c r="J446" s="204"/>
      <c r="K446" s="204"/>
      <c r="L446" s="202"/>
      <c r="M446" s="203"/>
      <c r="N446" s="161"/>
    </row>
    <row r="447" spans="1:14" ht="14.25">
      <c r="A447" s="5"/>
      <c r="B447" s="31"/>
      <c r="C447" s="15"/>
      <c r="D447" s="5" t="s">
        <v>6</v>
      </c>
      <c r="E447" s="5">
        <v>3</v>
      </c>
      <c r="F447" s="5">
        <v>2</v>
      </c>
      <c r="G447" s="5">
        <f>Q24</f>
        <v>46</v>
      </c>
      <c r="H447" s="16">
        <f t="shared" si="29"/>
        <v>0.14</v>
      </c>
      <c r="I447" s="204"/>
      <c r="J447" s="204"/>
      <c r="K447" s="204"/>
      <c r="L447" s="202"/>
      <c r="M447" s="203"/>
      <c r="N447" s="161"/>
    </row>
    <row r="448" spans="1:14" ht="14.25">
      <c r="A448" s="5"/>
      <c r="B448" s="31"/>
      <c r="C448" s="15"/>
      <c r="D448" s="5" t="s">
        <v>26</v>
      </c>
      <c r="E448" s="5">
        <v>2</v>
      </c>
      <c r="F448" s="5">
        <v>2</v>
      </c>
      <c r="G448" s="5">
        <f>Q39</f>
        <v>138</v>
      </c>
      <c r="H448" s="16">
        <f t="shared" si="29"/>
        <v>0.28</v>
      </c>
      <c r="I448" s="202">
        <v>0.93</v>
      </c>
      <c r="J448" s="202">
        <v>1.62</v>
      </c>
      <c r="K448" s="202">
        <v>2</v>
      </c>
      <c r="L448" s="202">
        <f>(I448+K448)*4+J448*9</f>
        <v>26.3</v>
      </c>
      <c r="M448" s="203">
        <v>10</v>
      </c>
      <c r="N448" s="161">
        <f>(I448+K448)*4+J448*9</f>
        <v>26.3</v>
      </c>
    </row>
    <row r="449" spans="1:14" ht="14.25">
      <c r="A449" s="5">
        <v>4</v>
      </c>
      <c r="B449" s="3" t="s">
        <v>35</v>
      </c>
      <c r="C449" s="5">
        <v>50</v>
      </c>
      <c r="D449" s="8" t="s">
        <v>142</v>
      </c>
      <c r="E449" s="5">
        <v>50</v>
      </c>
      <c r="F449" s="5">
        <v>50</v>
      </c>
      <c r="G449" s="5">
        <f>Q66</f>
        <v>48</v>
      </c>
      <c r="H449" s="16">
        <f t="shared" si="29"/>
        <v>2.4</v>
      </c>
      <c r="I449" s="202">
        <v>3.06</v>
      </c>
      <c r="J449" s="202">
        <v>9.54</v>
      </c>
      <c r="K449" s="202">
        <v>18.28</v>
      </c>
      <c r="L449" s="202">
        <f>(I449+K449)*4+J449*9</f>
        <v>171.22</v>
      </c>
      <c r="M449" s="203">
        <v>1</v>
      </c>
      <c r="N449" s="161">
        <f>(I449+K449)*4+J449*9</f>
        <v>171.22</v>
      </c>
    </row>
    <row r="450" spans="1:14" ht="14.25">
      <c r="A450" s="5">
        <v>5</v>
      </c>
      <c r="B450" s="3" t="s">
        <v>13</v>
      </c>
      <c r="C450" s="5">
        <v>200</v>
      </c>
      <c r="D450" s="5" t="s">
        <v>51</v>
      </c>
      <c r="E450" s="5">
        <v>1</v>
      </c>
      <c r="F450" s="5">
        <v>1</v>
      </c>
      <c r="G450" s="5">
        <f>Q64</f>
        <v>507</v>
      </c>
      <c r="H450" s="16">
        <f t="shared" si="29"/>
        <v>0.51</v>
      </c>
      <c r="I450" s="16"/>
      <c r="J450" s="16"/>
      <c r="K450" s="16"/>
      <c r="L450" s="16"/>
      <c r="M450" s="45"/>
      <c r="N450" s="161"/>
    </row>
    <row r="451" spans="1:14" ht="14.25">
      <c r="A451" s="5"/>
      <c r="B451" s="3"/>
      <c r="C451" s="5"/>
      <c r="D451" s="5" t="s">
        <v>2</v>
      </c>
      <c r="E451" s="5">
        <v>13</v>
      </c>
      <c r="F451" s="5">
        <v>13</v>
      </c>
      <c r="G451" s="5">
        <f>Q56</f>
        <v>85</v>
      </c>
      <c r="H451" s="16">
        <f>E451*G451/1000</f>
        <v>1.11</v>
      </c>
      <c r="I451" s="78">
        <v>0.2</v>
      </c>
      <c r="J451" s="78">
        <v>0</v>
      </c>
      <c r="K451" s="78">
        <v>14</v>
      </c>
      <c r="L451" s="78">
        <v>56.8</v>
      </c>
      <c r="M451" s="45">
        <v>376</v>
      </c>
      <c r="N451" s="161">
        <f>(I451+K451)*4+J451*9</f>
        <v>56.8</v>
      </c>
    </row>
    <row r="452" spans="1:14" ht="14.25">
      <c r="A452" s="5">
        <v>6</v>
      </c>
      <c r="B452" s="198" t="s">
        <v>227</v>
      </c>
      <c r="C452" s="5">
        <v>40</v>
      </c>
      <c r="D452" s="5" t="s">
        <v>228</v>
      </c>
      <c r="E452" s="34">
        <v>40</v>
      </c>
      <c r="F452" s="34">
        <v>40</v>
      </c>
      <c r="G452" s="5">
        <f>Q67</f>
        <v>157</v>
      </c>
      <c r="H452" s="16">
        <f>E452*G452/1000</f>
        <v>6.28</v>
      </c>
      <c r="I452" s="78">
        <v>2.36</v>
      </c>
      <c r="J452" s="78">
        <v>1.88</v>
      </c>
      <c r="K452" s="78">
        <v>30</v>
      </c>
      <c r="L452" s="78">
        <v>146.36</v>
      </c>
      <c r="M452" s="203">
        <v>368</v>
      </c>
      <c r="N452" s="161">
        <f>(I452+K452)*4+J452*9</f>
        <v>146.36</v>
      </c>
    </row>
    <row r="453" spans="1:14" ht="14.25">
      <c r="A453" s="5"/>
      <c r="B453" s="2"/>
      <c r="C453" s="101"/>
      <c r="D453" s="5" t="s">
        <v>170</v>
      </c>
      <c r="E453" s="5">
        <v>4</v>
      </c>
      <c r="F453" s="5">
        <v>4</v>
      </c>
      <c r="G453" s="5">
        <f>Q60</f>
        <v>24</v>
      </c>
      <c r="H453" s="16">
        <f>E453*G453/1000</f>
        <v>0.1</v>
      </c>
      <c r="I453" s="78"/>
      <c r="J453" s="78"/>
      <c r="K453" s="78"/>
      <c r="L453" s="78"/>
      <c r="M453" s="45"/>
      <c r="N453" s="161"/>
    </row>
    <row r="454" spans="1:14" ht="15">
      <c r="A454" s="5"/>
      <c r="B454" s="14"/>
      <c r="C454" s="209">
        <f>SUM(C439:C453)</f>
        <v>555</v>
      </c>
      <c r="D454" s="5"/>
      <c r="E454" s="5"/>
      <c r="F454" s="5"/>
      <c r="G454" s="5"/>
      <c r="H454" s="69">
        <f>SUM(H439:H453)</f>
        <v>68.47</v>
      </c>
      <c r="I454" s="69">
        <f>SUM(I439:I453)</f>
        <v>21.48</v>
      </c>
      <c r="J454" s="69">
        <f>SUM(J439:J453)</f>
        <v>34.18</v>
      </c>
      <c r="K454" s="69">
        <f>SUM(K439:K453)</f>
        <v>91.66</v>
      </c>
      <c r="L454" s="69">
        <f>SUM(L439:L453)</f>
        <v>760.18</v>
      </c>
      <c r="M454" s="156"/>
      <c r="N454" s="161">
        <f>(I454+K454)*4+J454*9</f>
        <v>760.18</v>
      </c>
    </row>
    <row r="455" spans="1:14" ht="15">
      <c r="A455" s="5"/>
      <c r="B455" s="73" t="s">
        <v>145</v>
      </c>
      <c r="C455" s="8"/>
      <c r="D455" s="8"/>
      <c r="E455" s="5"/>
      <c r="F455" s="5"/>
      <c r="G455" s="5"/>
      <c r="H455" s="16"/>
      <c r="I455" s="16"/>
      <c r="J455" s="16"/>
      <c r="K455" s="16"/>
      <c r="L455" s="16"/>
      <c r="M455" s="45"/>
      <c r="N455" s="161"/>
    </row>
    <row r="456" spans="1:14" ht="14.25">
      <c r="A456" s="5">
        <v>1</v>
      </c>
      <c r="B456" s="32" t="s">
        <v>95</v>
      </c>
      <c r="C456" s="102" t="s">
        <v>191</v>
      </c>
      <c r="D456" s="28" t="s">
        <v>15</v>
      </c>
      <c r="E456" s="5">
        <v>44</v>
      </c>
      <c r="F456" s="5">
        <v>35</v>
      </c>
      <c r="G456" s="5">
        <f>Q26</f>
        <v>45</v>
      </c>
      <c r="H456" s="16">
        <f aca="true" t="shared" si="30" ref="H456:H471">E456*G456/1000</f>
        <v>1.98</v>
      </c>
      <c r="I456" s="16"/>
      <c r="J456" s="16"/>
      <c r="K456" s="16"/>
      <c r="L456" s="16"/>
      <c r="M456" s="45"/>
      <c r="N456" s="161"/>
    </row>
    <row r="457" spans="1:14" ht="14.25">
      <c r="A457" s="5"/>
      <c r="B457" s="32" t="s">
        <v>96</v>
      </c>
      <c r="C457" s="28"/>
      <c r="D457" s="28" t="s">
        <v>17</v>
      </c>
      <c r="E457" s="5">
        <v>23</v>
      </c>
      <c r="F457" s="5">
        <v>17</v>
      </c>
      <c r="G457" s="5">
        <f>Q23</f>
        <v>47</v>
      </c>
      <c r="H457" s="16">
        <f t="shared" si="30"/>
        <v>1.08</v>
      </c>
      <c r="I457" s="16"/>
      <c r="J457" s="16"/>
      <c r="K457" s="16"/>
      <c r="L457" s="16"/>
      <c r="M457" s="45"/>
      <c r="N457" s="161"/>
    </row>
    <row r="458" spans="1:14" ht="14.25">
      <c r="A458" s="5"/>
      <c r="B458" s="25"/>
      <c r="C458" s="28"/>
      <c r="D458" s="28" t="s">
        <v>7</v>
      </c>
      <c r="E458" s="5">
        <v>30</v>
      </c>
      <c r="F458" s="5">
        <v>19</v>
      </c>
      <c r="G458" s="5">
        <f>Q22</f>
        <v>57</v>
      </c>
      <c r="H458" s="16">
        <f t="shared" si="30"/>
        <v>1.71</v>
      </c>
      <c r="I458" s="16"/>
      <c r="J458" s="16"/>
      <c r="K458" s="16"/>
      <c r="L458" s="16"/>
      <c r="M458" s="45"/>
      <c r="N458" s="161"/>
    </row>
    <row r="459" spans="1:14" ht="14.25">
      <c r="A459" s="5"/>
      <c r="B459" s="25"/>
      <c r="C459" s="28"/>
      <c r="D459" s="28" t="s">
        <v>8</v>
      </c>
      <c r="E459" s="5">
        <v>10</v>
      </c>
      <c r="F459" s="5">
        <v>8</v>
      </c>
      <c r="G459" s="5">
        <f>Q25</f>
        <v>66</v>
      </c>
      <c r="H459" s="16">
        <f t="shared" si="30"/>
        <v>0.66</v>
      </c>
      <c r="I459" s="16"/>
      <c r="J459" s="16"/>
      <c r="K459" s="16"/>
      <c r="L459" s="16"/>
      <c r="M459" s="45"/>
      <c r="N459" s="161"/>
    </row>
    <row r="460" spans="1:14" ht="14.25">
      <c r="A460" s="5"/>
      <c r="B460" s="25"/>
      <c r="C460" s="28"/>
      <c r="D460" s="28" t="s">
        <v>6</v>
      </c>
      <c r="E460" s="5">
        <v>10</v>
      </c>
      <c r="F460" s="5">
        <v>8</v>
      </c>
      <c r="G460" s="5">
        <f>Q24</f>
        <v>46</v>
      </c>
      <c r="H460" s="16">
        <f t="shared" si="30"/>
        <v>0.46</v>
      </c>
      <c r="I460" s="16"/>
      <c r="J460" s="16"/>
      <c r="K460" s="16"/>
      <c r="L460" s="16"/>
      <c r="M460" s="45"/>
      <c r="N460" s="161"/>
    </row>
    <row r="461" spans="1:14" ht="14.25">
      <c r="A461" s="5"/>
      <c r="B461" s="25"/>
      <c r="C461" s="28"/>
      <c r="D461" s="28" t="s">
        <v>27</v>
      </c>
      <c r="E461" s="5">
        <v>2</v>
      </c>
      <c r="F461" s="5">
        <v>2</v>
      </c>
      <c r="G461" s="5">
        <f>Q30</f>
        <v>123</v>
      </c>
      <c r="H461" s="16">
        <f t="shared" si="30"/>
        <v>0.25</v>
      </c>
      <c r="I461" s="16"/>
      <c r="J461" s="16"/>
      <c r="K461" s="16"/>
      <c r="L461" s="16"/>
      <c r="M461" s="45"/>
      <c r="N461" s="197"/>
    </row>
    <row r="462" spans="1:14" ht="14.25">
      <c r="A462" s="5"/>
      <c r="B462" s="25"/>
      <c r="C462" s="28"/>
      <c r="D462" s="28" t="s">
        <v>26</v>
      </c>
      <c r="E462" s="5">
        <v>4</v>
      </c>
      <c r="F462" s="5">
        <v>4</v>
      </c>
      <c r="G462" s="149">
        <f>Q39</f>
        <v>138</v>
      </c>
      <c r="H462" s="16">
        <f>E462*G462/1000</f>
        <v>0.55</v>
      </c>
      <c r="I462" s="176">
        <v>2.26</v>
      </c>
      <c r="J462" s="176">
        <v>4.18</v>
      </c>
      <c r="K462" s="176">
        <v>10.2</v>
      </c>
      <c r="L462" s="176">
        <v>87.46</v>
      </c>
      <c r="M462" s="177">
        <v>176</v>
      </c>
      <c r="N462" s="197">
        <f>(I462+K462)*4+J462*9</f>
        <v>87.46</v>
      </c>
    </row>
    <row r="463" spans="1:14" ht="14.25">
      <c r="A463" s="5"/>
      <c r="B463" s="25"/>
      <c r="C463" s="28"/>
      <c r="D463" s="28" t="s">
        <v>9</v>
      </c>
      <c r="E463" s="5">
        <v>10</v>
      </c>
      <c r="F463" s="5">
        <v>10</v>
      </c>
      <c r="G463" s="149">
        <f>Q12</f>
        <v>182</v>
      </c>
      <c r="H463" s="16">
        <f>E463*G463/1000</f>
        <v>1.82</v>
      </c>
      <c r="I463" s="176">
        <v>0.21</v>
      </c>
      <c r="J463" s="176">
        <v>2.82</v>
      </c>
      <c r="K463" s="176">
        <v>0.31</v>
      </c>
      <c r="L463" s="176">
        <v>27.46</v>
      </c>
      <c r="M463" s="177"/>
      <c r="N463" s="197">
        <f>(I463+K463)*4+J463*9</f>
        <v>27.46</v>
      </c>
    </row>
    <row r="464" spans="1:14" ht="14.25">
      <c r="A464" s="5">
        <v>2</v>
      </c>
      <c r="B464" s="11" t="s">
        <v>158</v>
      </c>
      <c r="C464" s="12">
        <v>75</v>
      </c>
      <c r="D464" s="12" t="s">
        <v>16</v>
      </c>
      <c r="E464" s="19">
        <v>60</v>
      </c>
      <c r="F464" s="19">
        <v>60</v>
      </c>
      <c r="G464" s="149">
        <f>Q6</f>
        <v>607</v>
      </c>
      <c r="H464" s="16">
        <f>E464*G464/1000</f>
        <v>36.42</v>
      </c>
      <c r="I464" s="16"/>
      <c r="J464" s="16"/>
      <c r="K464" s="16"/>
      <c r="L464" s="16"/>
      <c r="M464" s="45"/>
      <c r="N464" s="197"/>
    </row>
    <row r="465" spans="1:14" ht="14.25">
      <c r="A465" s="2"/>
      <c r="B465" s="11"/>
      <c r="C465" s="13"/>
      <c r="D465" s="12" t="s">
        <v>6</v>
      </c>
      <c r="E465" s="19">
        <v>21</v>
      </c>
      <c r="F465" s="19">
        <v>20</v>
      </c>
      <c r="G465" s="5">
        <f>Q24</f>
        <v>46</v>
      </c>
      <c r="H465" s="16">
        <f t="shared" si="30"/>
        <v>0.97</v>
      </c>
      <c r="I465" s="16"/>
      <c r="J465" s="16"/>
      <c r="K465" s="16"/>
      <c r="L465" s="16"/>
      <c r="M465" s="45"/>
      <c r="N465" s="161"/>
    </row>
    <row r="466" spans="1:14" ht="14.25">
      <c r="A466" s="5"/>
      <c r="B466" s="11"/>
      <c r="C466" s="12"/>
      <c r="D466" s="12" t="s">
        <v>26</v>
      </c>
      <c r="E466" s="19">
        <v>4</v>
      </c>
      <c r="F466" s="19">
        <v>4</v>
      </c>
      <c r="G466" s="5">
        <f>Q39</f>
        <v>138</v>
      </c>
      <c r="H466" s="16">
        <f t="shared" si="30"/>
        <v>0.55</v>
      </c>
      <c r="I466" s="16"/>
      <c r="J466" s="16"/>
      <c r="K466" s="16"/>
      <c r="L466" s="16"/>
      <c r="M466" s="45"/>
      <c r="N466" s="161"/>
    </row>
    <row r="467" spans="1:14" ht="14.25">
      <c r="A467" s="5"/>
      <c r="B467" s="31"/>
      <c r="C467" s="5"/>
      <c r="D467" s="5" t="s">
        <v>74</v>
      </c>
      <c r="E467" s="5">
        <v>4</v>
      </c>
      <c r="F467" s="5">
        <v>4</v>
      </c>
      <c r="G467" s="5">
        <f>Q45</f>
        <v>38</v>
      </c>
      <c r="H467" s="16">
        <f t="shared" si="30"/>
        <v>0.15</v>
      </c>
      <c r="I467" s="16"/>
      <c r="J467" s="16"/>
      <c r="K467" s="16"/>
      <c r="L467" s="16"/>
      <c r="M467" s="45"/>
      <c r="N467" s="161"/>
    </row>
    <row r="468" spans="1:14" ht="14.25">
      <c r="A468" s="5"/>
      <c r="B468" s="31"/>
      <c r="C468" s="5"/>
      <c r="D468" s="8" t="s">
        <v>9</v>
      </c>
      <c r="E468" s="5">
        <v>18</v>
      </c>
      <c r="F468" s="5">
        <v>18</v>
      </c>
      <c r="G468" s="184">
        <f>Q12</f>
        <v>182</v>
      </c>
      <c r="H468" s="16">
        <f>E468*G468/1000</f>
        <v>3.28</v>
      </c>
      <c r="I468" s="204">
        <v>9.7</v>
      </c>
      <c r="J468" s="204">
        <v>17.19</v>
      </c>
      <c r="K468" s="204">
        <v>2.06</v>
      </c>
      <c r="L468" s="202">
        <v>201.75</v>
      </c>
      <c r="M468" s="203">
        <v>278</v>
      </c>
      <c r="N468" s="161">
        <f>(I468+K468)*4+J468*9</f>
        <v>201.75</v>
      </c>
    </row>
    <row r="469" spans="1:14" ht="14.25">
      <c r="A469" s="5">
        <v>3</v>
      </c>
      <c r="B469" s="185" t="s">
        <v>186</v>
      </c>
      <c r="C469" s="174">
        <v>150</v>
      </c>
      <c r="D469" s="12" t="s">
        <v>187</v>
      </c>
      <c r="E469" s="12">
        <v>35</v>
      </c>
      <c r="F469" s="195">
        <v>35</v>
      </c>
      <c r="G469" s="5">
        <f>Q50</f>
        <v>61</v>
      </c>
      <c r="H469" s="16">
        <f t="shared" si="30"/>
        <v>2.14</v>
      </c>
      <c r="I469" s="16"/>
      <c r="J469" s="16"/>
      <c r="K469" s="16"/>
      <c r="L469" s="16"/>
      <c r="M469" s="45"/>
      <c r="N469" s="161"/>
    </row>
    <row r="470" spans="1:14" ht="14.25">
      <c r="A470" s="5"/>
      <c r="B470" s="31"/>
      <c r="C470" s="5"/>
      <c r="D470" s="5" t="s">
        <v>28</v>
      </c>
      <c r="E470" s="5">
        <v>5</v>
      </c>
      <c r="F470" s="5">
        <v>5</v>
      </c>
      <c r="G470" s="5">
        <f>Q11</f>
        <v>490</v>
      </c>
      <c r="H470" s="16">
        <f t="shared" si="30"/>
        <v>2.45</v>
      </c>
      <c r="I470" s="176">
        <v>3.94</v>
      </c>
      <c r="J470" s="176">
        <v>1.66</v>
      </c>
      <c r="K470" s="176">
        <v>25.05</v>
      </c>
      <c r="L470" s="176">
        <v>130.9</v>
      </c>
      <c r="M470" s="177">
        <v>744</v>
      </c>
      <c r="N470" s="161">
        <f>(I470+K470)*4+J470*9</f>
        <v>130.9</v>
      </c>
    </row>
    <row r="471" spans="1:14" ht="14.25">
      <c r="A471" s="5">
        <v>4</v>
      </c>
      <c r="B471" s="3" t="s">
        <v>35</v>
      </c>
      <c r="C471" s="15">
        <v>50</v>
      </c>
      <c r="D471" s="5" t="s">
        <v>19</v>
      </c>
      <c r="E471" s="5">
        <v>50</v>
      </c>
      <c r="F471" s="5">
        <v>50</v>
      </c>
      <c r="G471" s="34">
        <f>Q66</f>
        <v>48</v>
      </c>
      <c r="H471" s="16">
        <f t="shared" si="30"/>
        <v>2.4</v>
      </c>
      <c r="I471" s="202">
        <v>3.06</v>
      </c>
      <c r="J471" s="202">
        <v>9.54</v>
      </c>
      <c r="K471" s="202">
        <v>18.28</v>
      </c>
      <c r="L471" s="202">
        <f>(I471+K471)*4+J471*9</f>
        <v>171.22</v>
      </c>
      <c r="M471" s="203">
        <v>1</v>
      </c>
      <c r="N471" s="161">
        <f aca="true" t="shared" si="31" ref="N471:N478">(I471+K471)*4+J471*9</f>
        <v>171.22</v>
      </c>
    </row>
    <row r="472" spans="1:14" ht="14.25">
      <c r="A472" s="5">
        <v>5</v>
      </c>
      <c r="B472" s="31" t="s">
        <v>25</v>
      </c>
      <c r="C472" s="5">
        <v>200</v>
      </c>
      <c r="D472" s="5" t="s">
        <v>20</v>
      </c>
      <c r="E472" s="5">
        <v>14</v>
      </c>
      <c r="F472" s="5">
        <v>14</v>
      </c>
      <c r="G472" s="5">
        <f>Q35</f>
        <v>148</v>
      </c>
      <c r="H472" s="16">
        <f aca="true" t="shared" si="32" ref="H472:H477">G472*E472/1000</f>
        <v>2.07</v>
      </c>
      <c r="I472" s="16">
        <v>2.02</v>
      </c>
      <c r="J472" s="16">
        <v>0.2</v>
      </c>
      <c r="K472" s="16">
        <v>22.4</v>
      </c>
      <c r="L472" s="16">
        <v>99.48</v>
      </c>
      <c r="M472" s="45"/>
      <c r="N472" s="161">
        <f t="shared" si="31"/>
        <v>99.48</v>
      </c>
    </row>
    <row r="473" spans="1:14" ht="14.25">
      <c r="A473" s="5"/>
      <c r="B473" s="5"/>
      <c r="C473" s="5"/>
      <c r="D473" s="5" t="s">
        <v>2</v>
      </c>
      <c r="E473" s="5">
        <v>12</v>
      </c>
      <c r="F473" s="5">
        <v>12</v>
      </c>
      <c r="G473" s="5">
        <f>Q56</f>
        <v>85</v>
      </c>
      <c r="H473" s="16">
        <f t="shared" si="32"/>
        <v>1.02</v>
      </c>
      <c r="I473" s="205">
        <v>0.04</v>
      </c>
      <c r="J473" s="205">
        <v>0</v>
      </c>
      <c r="K473" s="205">
        <v>24.76</v>
      </c>
      <c r="L473" s="202">
        <f>(I473+K473)*4+J473*9</f>
        <v>99.2</v>
      </c>
      <c r="M473" s="203">
        <v>349</v>
      </c>
      <c r="N473" s="161">
        <f t="shared" si="31"/>
        <v>99.2</v>
      </c>
    </row>
    <row r="474" spans="1:14" ht="14.25">
      <c r="A474" s="5"/>
      <c r="B474" s="14"/>
      <c r="C474" s="5"/>
      <c r="D474" s="5" t="s">
        <v>102</v>
      </c>
      <c r="E474" s="34">
        <v>0.0005</v>
      </c>
      <c r="F474" s="34">
        <v>0.0005</v>
      </c>
      <c r="G474" s="34"/>
      <c r="H474" s="16"/>
      <c r="I474" s="16"/>
      <c r="J474" s="16"/>
      <c r="K474" s="16"/>
      <c r="L474" s="16"/>
      <c r="M474" s="45"/>
      <c r="N474" s="161"/>
    </row>
    <row r="475" spans="1:14" ht="14.25">
      <c r="A475" s="5">
        <v>6</v>
      </c>
      <c r="B475" s="198" t="s">
        <v>137</v>
      </c>
      <c r="C475" s="5">
        <v>75</v>
      </c>
      <c r="D475" s="5" t="s">
        <v>138</v>
      </c>
      <c r="E475" s="34">
        <v>75</v>
      </c>
      <c r="F475" s="34"/>
      <c r="G475" s="34">
        <f>Q31</f>
        <v>112</v>
      </c>
      <c r="H475" s="16">
        <f t="shared" si="32"/>
        <v>8.4</v>
      </c>
      <c r="I475" s="202">
        <v>0.3</v>
      </c>
      <c r="J475" s="202">
        <v>0.3</v>
      </c>
      <c r="K475" s="202">
        <v>7.35</v>
      </c>
      <c r="L475" s="202">
        <v>33.3</v>
      </c>
      <c r="M475" s="203">
        <v>368</v>
      </c>
      <c r="N475" s="161">
        <f t="shared" si="31"/>
        <v>33.3</v>
      </c>
    </row>
    <row r="476" spans="1:14" ht="15">
      <c r="A476" s="5"/>
      <c r="B476" s="14"/>
      <c r="C476" s="14"/>
      <c r="D476" s="8" t="s">
        <v>170</v>
      </c>
      <c r="E476" s="8">
        <v>4</v>
      </c>
      <c r="F476" s="8">
        <v>2.5</v>
      </c>
      <c r="G476" s="34">
        <f>Q60</f>
        <v>24</v>
      </c>
      <c r="H476" s="16">
        <f t="shared" si="32"/>
        <v>0.1</v>
      </c>
      <c r="I476" s="156"/>
      <c r="J476" s="156"/>
      <c r="K476" s="156"/>
      <c r="L476" s="156"/>
      <c r="M476" s="156"/>
      <c r="N476" s="161"/>
    </row>
    <row r="477" spans="1:14" ht="15">
      <c r="A477" s="2"/>
      <c r="B477" s="14"/>
      <c r="C477" s="14"/>
      <c r="D477" s="8" t="s">
        <v>94</v>
      </c>
      <c r="E477" s="8">
        <v>0.02</v>
      </c>
      <c r="F477" s="8">
        <v>0.02</v>
      </c>
      <c r="G477" s="5">
        <f>Q65</f>
        <v>483</v>
      </c>
      <c r="H477" s="16">
        <f t="shared" si="32"/>
        <v>0.01</v>
      </c>
      <c r="I477" s="156"/>
      <c r="J477" s="156"/>
      <c r="K477" s="156"/>
      <c r="L477" s="156"/>
      <c r="M477" s="45"/>
      <c r="N477" s="161"/>
    </row>
    <row r="478" spans="1:14" ht="15">
      <c r="A478" s="2"/>
      <c r="B478" s="3"/>
      <c r="C478" s="209">
        <v>760</v>
      </c>
      <c r="D478" s="5"/>
      <c r="E478" s="5"/>
      <c r="F478" s="5"/>
      <c r="G478" s="5"/>
      <c r="H478" s="69">
        <f>SUM(H456:H477)</f>
        <v>68.47</v>
      </c>
      <c r="I478" s="69">
        <f>SUM(I456:I477)</f>
        <v>21.53</v>
      </c>
      <c r="J478" s="69">
        <f>SUM(J456:J477)</f>
        <v>35.89</v>
      </c>
      <c r="K478" s="69">
        <f>SUM(K456:K477)</f>
        <v>110.41</v>
      </c>
      <c r="L478" s="69">
        <f>SUM(L456:L477)</f>
        <v>850.77</v>
      </c>
      <c r="M478" s="45"/>
      <c r="N478" s="161">
        <f t="shared" si="31"/>
        <v>850.77</v>
      </c>
    </row>
    <row r="479" spans="1:13" ht="15">
      <c r="A479" s="7"/>
      <c r="B479" s="4"/>
      <c r="C479" s="21"/>
      <c r="D479" s="21"/>
      <c r="E479" s="21"/>
      <c r="F479" s="21"/>
      <c r="G479" s="21"/>
      <c r="H479" s="93"/>
      <c r="I479" s="93"/>
      <c r="J479" s="93"/>
      <c r="K479" s="93"/>
      <c r="L479" s="93"/>
      <c r="M479" s="163"/>
    </row>
    <row r="480" spans="1:13" ht="15">
      <c r="A480" s="7"/>
      <c r="B480" s="4"/>
      <c r="C480" s="21"/>
      <c r="D480" s="21"/>
      <c r="E480" s="21"/>
      <c r="F480" s="21"/>
      <c r="G480" s="21"/>
      <c r="H480" s="93"/>
      <c r="I480" s="93"/>
      <c r="J480" s="93"/>
      <c r="K480" s="93"/>
      <c r="L480" s="93"/>
      <c r="M480" s="163"/>
    </row>
    <row r="481" spans="1:13" ht="14.25" customHeight="1">
      <c r="A481" s="7"/>
      <c r="B481" s="4"/>
      <c r="C481" s="21"/>
      <c r="D481" s="21"/>
      <c r="E481" s="21"/>
      <c r="F481" s="21"/>
      <c r="G481" s="21"/>
      <c r="H481" s="93"/>
      <c r="I481" s="93"/>
      <c r="J481" s="93"/>
      <c r="K481" s="93"/>
      <c r="L481" s="93"/>
      <c r="M481" s="163"/>
    </row>
    <row r="482" spans="2:12" ht="14.25">
      <c r="B482" s="249" t="s">
        <v>65</v>
      </c>
      <c r="C482" s="249"/>
      <c r="D482" s="249"/>
      <c r="E482" s="249"/>
      <c r="F482" s="249"/>
      <c r="H482" s="37"/>
      <c r="I482" s="37"/>
      <c r="J482" s="37"/>
      <c r="K482" s="37"/>
      <c r="L482" s="37"/>
    </row>
    <row r="483" spans="2:6" ht="14.25">
      <c r="B483" s="249" t="s">
        <v>171</v>
      </c>
      <c r="C483" s="249"/>
      <c r="D483" s="249"/>
      <c r="E483" s="249"/>
      <c r="F483" s="249"/>
    </row>
    <row r="484" spans="8:12" ht="14.25">
      <c r="H484" s="37"/>
      <c r="I484" s="37"/>
      <c r="J484" s="37"/>
      <c r="K484" s="37"/>
      <c r="L484" s="37"/>
    </row>
    <row r="485" ht="14.25">
      <c r="B485" s="21"/>
    </row>
    <row r="499" ht="14.25" customHeight="1"/>
    <row r="500" ht="14.25" customHeight="1"/>
    <row r="501" ht="14.25" customHeight="1"/>
  </sheetData>
  <sheetProtection/>
  <mergeCells count="73">
    <mergeCell ref="M437:M438"/>
    <mergeCell ref="I437:I438"/>
    <mergeCell ref="J437:J438"/>
    <mergeCell ref="K437:K438"/>
    <mergeCell ref="L437:L438"/>
    <mergeCell ref="D437:D438"/>
    <mergeCell ref="D394:D395"/>
    <mergeCell ref="I394:I395"/>
    <mergeCell ref="J394:J395"/>
    <mergeCell ref="K394:K395"/>
    <mergeCell ref="L394:L395"/>
    <mergeCell ref="D199:D200"/>
    <mergeCell ref="M305:M306"/>
    <mergeCell ref="I346:I347"/>
    <mergeCell ref="J346:J347"/>
    <mergeCell ref="K346:K347"/>
    <mergeCell ref="L346:L347"/>
    <mergeCell ref="M346:M347"/>
    <mergeCell ref="M394:M395"/>
    <mergeCell ref="A305:A306"/>
    <mergeCell ref="D305:D306"/>
    <mergeCell ref="I305:I306"/>
    <mergeCell ref="J305:J306"/>
    <mergeCell ref="K305:K306"/>
    <mergeCell ref="L305:L306"/>
    <mergeCell ref="A346:A347"/>
    <mergeCell ref="D346:D347"/>
    <mergeCell ref="A394:A395"/>
    <mergeCell ref="D2:G2"/>
    <mergeCell ref="A4:A5"/>
    <mergeCell ref="D4:D5"/>
    <mergeCell ref="I4:I5"/>
    <mergeCell ref="D253:D254"/>
    <mergeCell ref="A253:A254"/>
    <mergeCell ref="A58:A59"/>
    <mergeCell ref="D58:D59"/>
    <mergeCell ref="A145:A146"/>
    <mergeCell ref="A199:A200"/>
    <mergeCell ref="J4:J5"/>
    <mergeCell ref="K4:K5"/>
    <mergeCell ref="L4:L5"/>
    <mergeCell ref="M4:M5"/>
    <mergeCell ref="I253:I254"/>
    <mergeCell ref="J253:J254"/>
    <mergeCell ref="K253:K254"/>
    <mergeCell ref="L253:L254"/>
    <mergeCell ref="M253:M254"/>
    <mergeCell ref="I58:I59"/>
    <mergeCell ref="J58:J59"/>
    <mergeCell ref="K58:K59"/>
    <mergeCell ref="L58:L59"/>
    <mergeCell ref="A99:A100"/>
    <mergeCell ref="D99:D100"/>
    <mergeCell ref="I99:I100"/>
    <mergeCell ref="M99:M100"/>
    <mergeCell ref="L99:L100"/>
    <mergeCell ref="K99:K100"/>
    <mergeCell ref="J99:J100"/>
    <mergeCell ref="D145:D146"/>
    <mergeCell ref="I145:I146"/>
    <mergeCell ref="J145:J146"/>
    <mergeCell ref="K145:K146"/>
    <mergeCell ref="L145:L146"/>
    <mergeCell ref="M58:M59"/>
    <mergeCell ref="A437:A438"/>
    <mergeCell ref="B482:F482"/>
    <mergeCell ref="B483:F483"/>
    <mergeCell ref="M145:M146"/>
    <mergeCell ref="I199:I200"/>
    <mergeCell ref="J199:J200"/>
    <mergeCell ref="K199:K200"/>
    <mergeCell ref="L199:L200"/>
    <mergeCell ref="M199:M20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8" r:id="rId1"/>
  <rowBreaks count="4" manualBreakCount="4">
    <brk id="96" max="12" man="1"/>
    <brk id="196" max="12" man="1"/>
    <brk id="302" max="12" man="1"/>
    <brk id="39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6"/>
  <sheetViews>
    <sheetView workbookViewId="0" topLeftCell="A1">
      <selection activeCell="B2" sqref="B2"/>
    </sheetView>
  </sheetViews>
  <sheetFormatPr defaultColWidth="9.00390625" defaultRowHeight="12.75"/>
  <cols>
    <col min="1" max="1" width="3.625" style="49" bestFit="1" customWidth="1"/>
    <col min="2" max="2" width="30.875" style="49" customWidth="1"/>
    <col min="3" max="3" width="4.75390625" style="49" bestFit="1" customWidth="1"/>
    <col min="4" max="4" width="11.125" style="49" customWidth="1"/>
    <col min="5" max="5" width="8.125" style="237" customWidth="1"/>
    <col min="6" max="6" width="8.125" style="49" customWidth="1"/>
    <col min="7" max="7" width="8.125" style="237" customWidth="1"/>
    <col min="8" max="8" width="8.125" style="49" customWidth="1"/>
    <col min="9" max="9" width="8.125" style="237" customWidth="1"/>
    <col min="10" max="10" width="8.125" style="49" customWidth="1"/>
    <col min="11" max="11" width="7.75390625" style="237" customWidth="1"/>
    <col min="12" max="12" width="7.75390625" style="49" customWidth="1"/>
    <col min="13" max="13" width="8.75390625" style="243" customWidth="1"/>
    <col min="14" max="14" width="8.75390625" style="49" customWidth="1"/>
    <col min="15" max="15" width="9.125" style="237" customWidth="1"/>
    <col min="16" max="16" width="9.125" style="49" customWidth="1"/>
    <col min="17" max="17" width="9.125" style="237" customWidth="1"/>
    <col min="18" max="18" width="9.125" style="49" customWidth="1"/>
    <col min="19" max="19" width="9.125" style="237" customWidth="1"/>
    <col min="20" max="20" width="7.75390625" style="49" customWidth="1"/>
    <col min="21" max="21" width="9.125" style="237" customWidth="1"/>
    <col min="22" max="22" width="9.125" style="49" customWidth="1"/>
    <col min="23" max="23" width="9.125" style="237" customWidth="1"/>
    <col min="24" max="24" width="9.125" style="49" customWidth="1"/>
    <col min="25" max="25" width="10.75390625" style="49" bestFit="1" customWidth="1"/>
    <col min="26" max="26" width="10.75390625" style="49" customWidth="1"/>
    <col min="27" max="16384" width="9.125" style="49" customWidth="1"/>
  </cols>
  <sheetData>
    <row r="1" spans="2:14" ht="12.75">
      <c r="B1" s="134" t="s">
        <v>0</v>
      </c>
      <c r="H1" s="133"/>
      <c r="J1" s="68"/>
      <c r="L1" s="68"/>
      <c r="M1" s="237"/>
      <c r="N1" s="68"/>
    </row>
    <row r="2" spans="1:26" ht="27" customHeight="1">
      <c r="A2" s="56" t="s">
        <v>3</v>
      </c>
      <c r="B2" s="56" t="s">
        <v>52</v>
      </c>
      <c r="C2" s="56" t="s">
        <v>172</v>
      </c>
      <c r="D2" s="56" t="s">
        <v>53</v>
      </c>
      <c r="E2" s="236">
        <v>1</v>
      </c>
      <c r="F2" s="56" t="s">
        <v>54</v>
      </c>
      <c r="G2" s="236">
        <v>2</v>
      </c>
      <c r="H2" s="56" t="s">
        <v>54</v>
      </c>
      <c r="I2" s="236">
        <v>3</v>
      </c>
      <c r="J2" s="56" t="s">
        <v>54</v>
      </c>
      <c r="K2" s="236">
        <v>4</v>
      </c>
      <c r="L2" s="56" t="s">
        <v>54</v>
      </c>
      <c r="M2" s="242">
        <v>5</v>
      </c>
      <c r="N2" s="56" t="s">
        <v>54</v>
      </c>
      <c r="O2" s="236">
        <v>1</v>
      </c>
      <c r="P2" s="56" t="s">
        <v>54</v>
      </c>
      <c r="Q2" s="236">
        <v>2</v>
      </c>
      <c r="R2" s="56" t="s">
        <v>54</v>
      </c>
      <c r="S2" s="236">
        <v>3</v>
      </c>
      <c r="T2" s="56" t="s">
        <v>54</v>
      </c>
      <c r="U2" s="236">
        <v>4</v>
      </c>
      <c r="V2" s="56" t="s">
        <v>54</v>
      </c>
      <c r="W2" s="236">
        <v>5</v>
      </c>
      <c r="X2" s="56" t="s">
        <v>54</v>
      </c>
      <c r="Y2" s="56" t="s">
        <v>56</v>
      </c>
      <c r="Z2" s="56" t="s">
        <v>54</v>
      </c>
    </row>
    <row r="3" spans="1:27" ht="15">
      <c r="A3" s="53">
        <v>1</v>
      </c>
      <c r="B3" s="51" t="str">
        <f>'Меню 2 кв 2023'!O5</f>
        <v>Яйцо (1 сорт)</v>
      </c>
      <c r="C3" s="52" t="str">
        <f>'Меню 2 кв 2023'!P5</f>
        <v>шт</v>
      </c>
      <c r="D3" s="79">
        <f>'Меню 2 кв 2023'!Q5</f>
        <v>9.5</v>
      </c>
      <c r="E3" s="238">
        <v>0.22</v>
      </c>
      <c r="F3" s="50">
        <f>E3*D3</f>
        <v>2.09</v>
      </c>
      <c r="G3" s="238"/>
      <c r="H3" s="50">
        <f>G3*D3</f>
        <v>0</v>
      </c>
      <c r="I3" s="238">
        <f>1+0.16</f>
        <v>1.16</v>
      </c>
      <c r="J3" s="50">
        <f>I3*D3</f>
        <v>11.02</v>
      </c>
      <c r="K3" s="238">
        <v>0.25</v>
      </c>
      <c r="L3" s="50">
        <f>K3*D3</f>
        <v>2.38</v>
      </c>
      <c r="M3" s="244">
        <v>0.2</v>
      </c>
      <c r="N3" s="50">
        <f>D3*M3</f>
        <v>1.9</v>
      </c>
      <c r="O3" s="238">
        <v>0.12</v>
      </c>
      <c r="P3" s="50">
        <f>O3*D3</f>
        <v>1.14</v>
      </c>
      <c r="Q3" s="238"/>
      <c r="R3" s="50">
        <f>D3*Q3</f>
        <v>0</v>
      </c>
      <c r="S3" s="238">
        <v>0.18</v>
      </c>
      <c r="T3" s="50">
        <f>D3*S3</f>
        <v>1.71</v>
      </c>
      <c r="U3" s="238">
        <v>0.16</v>
      </c>
      <c r="V3" s="50">
        <f>U3*D3</f>
        <v>1.52</v>
      </c>
      <c r="W3" s="238"/>
      <c r="X3" s="50">
        <f>D3*W3</f>
        <v>0</v>
      </c>
      <c r="Y3" s="57">
        <f>(E3+G3+I3+K3+M3+O3+Q3+S3+U3+W3)</f>
        <v>2.29</v>
      </c>
      <c r="Z3" s="50">
        <f>Y3*D3</f>
        <v>21.76</v>
      </c>
      <c r="AA3" s="49">
        <f>Y3*4</f>
        <v>9.16</v>
      </c>
    </row>
    <row r="4" spans="1:27" ht="30">
      <c r="A4" s="53">
        <v>2</v>
      </c>
      <c r="B4" s="51" t="str">
        <f>'Меню 2 кв 2023'!O6</f>
        <v>Мясо говядины без кости (1категории)</v>
      </c>
      <c r="C4" s="52" t="str">
        <f>'Меню 2 кв 2023'!P6</f>
        <v>кг</v>
      </c>
      <c r="D4" s="79">
        <f>'Меню 2 кв 2023'!Q6</f>
        <v>607</v>
      </c>
      <c r="E4" s="238"/>
      <c r="F4" s="50">
        <f aca="true" t="shared" si="0" ref="F4:F54">D4*E4/1000</f>
        <v>0</v>
      </c>
      <c r="G4" s="238">
        <v>73</v>
      </c>
      <c r="H4" s="50">
        <f>G4*D4/1000</f>
        <v>44.31</v>
      </c>
      <c r="I4" s="238"/>
      <c r="J4" s="50">
        <f>I4*D4/1000</f>
        <v>0</v>
      </c>
      <c r="K4" s="238"/>
      <c r="L4" s="50">
        <f>K4*D4/1000</f>
        <v>0</v>
      </c>
      <c r="M4" s="244"/>
      <c r="N4" s="50">
        <f>D4*M4/1000</f>
        <v>0</v>
      </c>
      <c r="O4" s="238">
        <v>65</v>
      </c>
      <c r="P4" s="50">
        <f aca="true" t="shared" si="1" ref="P4:P54">D4*O4/1000</f>
        <v>39.46</v>
      </c>
      <c r="Q4" s="238"/>
      <c r="R4" s="50">
        <f aca="true" t="shared" si="2" ref="R4:R54">D4*Q4/1000</f>
        <v>0</v>
      </c>
      <c r="S4" s="238"/>
      <c r="T4" s="50">
        <f aca="true" t="shared" si="3" ref="T4:T54">D4*S4/1000</f>
        <v>0</v>
      </c>
      <c r="U4" s="238"/>
      <c r="V4" s="50">
        <f aca="true" t="shared" si="4" ref="V4:V54">U4*D4/1000</f>
        <v>0</v>
      </c>
      <c r="W4" s="238">
        <v>69</v>
      </c>
      <c r="X4" s="50">
        <f aca="true" t="shared" si="5" ref="X4:X54">D4*W4/1000</f>
        <v>41.88</v>
      </c>
      <c r="Y4" s="57">
        <f aca="true" t="shared" si="6" ref="Y4:Y55">(E4+G4+I4+K4+M4+O4+Q4+S4+U4+W4)</f>
        <v>207</v>
      </c>
      <c r="Z4" s="50">
        <f aca="true" t="shared" si="7" ref="Z4:Z35">Y4*D4/1000</f>
        <v>125.65</v>
      </c>
      <c r="AA4" s="49">
        <f aca="true" t="shared" si="8" ref="AA4:AA54">Y4*4</f>
        <v>828</v>
      </c>
    </row>
    <row r="5" spans="1:27" ht="15">
      <c r="A5" s="53">
        <v>3</v>
      </c>
      <c r="B5" s="51" t="str">
        <f>'Меню 2 кв 2023'!O7</f>
        <v>Мясо птицы (1 категории)</v>
      </c>
      <c r="C5" s="52" t="str">
        <f>'Меню 2 кв 2023'!P7</f>
        <v>кг</v>
      </c>
      <c r="D5" s="79">
        <f>'Меню 2 кв 2023'!Q7</f>
        <v>257</v>
      </c>
      <c r="E5" s="238"/>
      <c r="F5" s="50">
        <f t="shared" si="0"/>
        <v>0</v>
      </c>
      <c r="G5" s="238"/>
      <c r="H5" s="50">
        <f aca="true" t="shared" si="9" ref="H5:H54">G5*D5/1000</f>
        <v>0</v>
      </c>
      <c r="I5" s="238">
        <v>40</v>
      </c>
      <c r="J5" s="50">
        <f aca="true" t="shared" si="10" ref="J5:J54">I5*D5/1000</f>
        <v>10.28</v>
      </c>
      <c r="K5" s="238"/>
      <c r="L5" s="50">
        <f aca="true" t="shared" si="11" ref="L5:L54">K5*D5/1000</f>
        <v>0</v>
      </c>
      <c r="M5" s="244"/>
      <c r="N5" s="50">
        <f aca="true" t="shared" si="12" ref="N5:N54">D5*M5/1000</f>
        <v>0</v>
      </c>
      <c r="O5" s="238"/>
      <c r="P5" s="50">
        <f t="shared" si="1"/>
        <v>0</v>
      </c>
      <c r="Q5" s="238">
        <v>134</v>
      </c>
      <c r="R5" s="50">
        <f t="shared" si="2"/>
        <v>34.44</v>
      </c>
      <c r="S5" s="238"/>
      <c r="T5" s="50">
        <f t="shared" si="3"/>
        <v>0</v>
      </c>
      <c r="U5" s="238"/>
      <c r="V5" s="50">
        <f t="shared" si="4"/>
        <v>0</v>
      </c>
      <c r="W5" s="238"/>
      <c r="X5" s="50">
        <f t="shared" si="5"/>
        <v>0</v>
      </c>
      <c r="Y5" s="57">
        <f t="shared" si="6"/>
        <v>174</v>
      </c>
      <c r="Z5" s="50">
        <f t="shared" si="7"/>
        <v>44.72</v>
      </c>
      <c r="AA5" s="49">
        <f t="shared" si="8"/>
        <v>696</v>
      </c>
    </row>
    <row r="6" spans="1:27" ht="15">
      <c r="A6" s="53">
        <v>4</v>
      </c>
      <c r="B6" s="51"/>
      <c r="C6" s="52"/>
      <c r="D6" s="79"/>
      <c r="E6" s="238"/>
      <c r="F6" s="50">
        <f t="shared" si="0"/>
        <v>0</v>
      </c>
      <c r="G6" s="238"/>
      <c r="H6" s="50">
        <f t="shared" si="9"/>
        <v>0</v>
      </c>
      <c r="I6" s="238"/>
      <c r="J6" s="50">
        <f t="shared" si="10"/>
        <v>0</v>
      </c>
      <c r="K6" s="238"/>
      <c r="L6" s="50">
        <f t="shared" si="11"/>
        <v>0</v>
      </c>
      <c r="M6" s="244"/>
      <c r="N6" s="50">
        <f t="shared" si="12"/>
        <v>0</v>
      </c>
      <c r="O6" s="238"/>
      <c r="P6" s="50">
        <f t="shared" si="1"/>
        <v>0</v>
      </c>
      <c r="Q6" s="238"/>
      <c r="R6" s="50">
        <f t="shared" si="2"/>
        <v>0</v>
      </c>
      <c r="S6" s="238"/>
      <c r="T6" s="50">
        <f t="shared" si="3"/>
        <v>0</v>
      </c>
      <c r="U6" s="238"/>
      <c r="V6" s="50">
        <f t="shared" si="4"/>
        <v>0</v>
      </c>
      <c r="W6" s="238"/>
      <c r="X6" s="50">
        <f t="shared" si="5"/>
        <v>0</v>
      </c>
      <c r="Y6" s="57">
        <f t="shared" si="6"/>
        <v>0</v>
      </c>
      <c r="Z6" s="50">
        <f t="shared" si="7"/>
        <v>0</v>
      </c>
      <c r="AA6" s="49">
        <f t="shared" si="8"/>
        <v>0</v>
      </c>
    </row>
    <row r="7" spans="1:27" ht="15">
      <c r="A7" s="53">
        <v>5</v>
      </c>
      <c r="B7" s="51"/>
      <c r="C7" s="52"/>
      <c r="D7" s="79"/>
      <c r="E7" s="238"/>
      <c r="F7" s="50">
        <f t="shared" si="0"/>
        <v>0</v>
      </c>
      <c r="G7" s="238"/>
      <c r="H7" s="50">
        <f t="shared" si="9"/>
        <v>0</v>
      </c>
      <c r="I7" s="238"/>
      <c r="J7" s="50">
        <f t="shared" si="10"/>
        <v>0</v>
      </c>
      <c r="K7" s="238"/>
      <c r="L7" s="50">
        <f t="shared" si="11"/>
        <v>0</v>
      </c>
      <c r="M7" s="244"/>
      <c r="N7" s="50">
        <f t="shared" si="12"/>
        <v>0</v>
      </c>
      <c r="O7" s="238"/>
      <c r="P7" s="50">
        <f t="shared" si="1"/>
        <v>0</v>
      </c>
      <c r="Q7" s="238"/>
      <c r="R7" s="50">
        <f t="shared" si="2"/>
        <v>0</v>
      </c>
      <c r="S7" s="238"/>
      <c r="T7" s="50">
        <f t="shared" si="3"/>
        <v>0</v>
      </c>
      <c r="U7" s="238"/>
      <c r="V7" s="50">
        <f t="shared" si="4"/>
        <v>0</v>
      </c>
      <c r="W7" s="238"/>
      <c r="X7" s="50">
        <f t="shared" si="5"/>
        <v>0</v>
      </c>
      <c r="Y7" s="57">
        <f t="shared" si="6"/>
        <v>0</v>
      </c>
      <c r="Z7" s="50">
        <f t="shared" si="7"/>
        <v>0</v>
      </c>
      <c r="AA7" s="49">
        <f t="shared" si="8"/>
        <v>0</v>
      </c>
    </row>
    <row r="8" spans="1:27" ht="14.25" customHeight="1">
      <c r="A8" s="53">
        <v>6</v>
      </c>
      <c r="B8" s="51" t="str">
        <f>'Меню 2 кв 2023'!O10</f>
        <v>Молоко пастеризованное (2,5%)</v>
      </c>
      <c r="C8" s="52" t="str">
        <f>'Меню 2 кв 2023'!P10</f>
        <v>л</v>
      </c>
      <c r="D8" s="79">
        <f>'Меню 2 кв 2023'!Q10</f>
        <v>70</v>
      </c>
      <c r="E8" s="238">
        <f>150+30+95</f>
        <v>275</v>
      </c>
      <c r="F8" s="50">
        <f t="shared" si="0"/>
        <v>19.25</v>
      </c>
      <c r="G8" s="238"/>
      <c r="H8" s="50">
        <f t="shared" si="9"/>
        <v>0</v>
      </c>
      <c r="I8" s="238">
        <v>90</v>
      </c>
      <c r="J8" s="50">
        <f t="shared" si="10"/>
        <v>6.3</v>
      </c>
      <c r="K8" s="238">
        <f>10+30</f>
        <v>40</v>
      </c>
      <c r="L8" s="50">
        <f t="shared" si="11"/>
        <v>2.8</v>
      </c>
      <c r="M8" s="244">
        <f>150+90</f>
        <v>240</v>
      </c>
      <c r="N8" s="50">
        <f t="shared" si="12"/>
        <v>16.8</v>
      </c>
      <c r="O8" s="238"/>
      <c r="P8" s="50">
        <f t="shared" si="1"/>
        <v>0</v>
      </c>
      <c r="Q8" s="238">
        <v>90</v>
      </c>
      <c r="R8" s="50">
        <f t="shared" si="2"/>
        <v>6.3</v>
      </c>
      <c r="S8" s="238">
        <v>30</v>
      </c>
      <c r="T8" s="50">
        <f t="shared" si="3"/>
        <v>2.1</v>
      </c>
      <c r="U8" s="238"/>
      <c r="V8" s="50">
        <f t="shared" si="4"/>
        <v>0</v>
      </c>
      <c r="W8" s="238"/>
      <c r="X8" s="50">
        <f t="shared" si="5"/>
        <v>0</v>
      </c>
      <c r="Y8" s="57">
        <f t="shared" si="6"/>
        <v>765</v>
      </c>
      <c r="Z8" s="50">
        <f t="shared" si="7"/>
        <v>53.55</v>
      </c>
      <c r="AA8" s="49">
        <f t="shared" si="8"/>
        <v>3060</v>
      </c>
    </row>
    <row r="9" spans="1:27" ht="15">
      <c r="A9" s="53">
        <v>7</v>
      </c>
      <c r="B9" s="51" t="str">
        <f>'Меню 2 кв 2023'!O11</f>
        <v>Масло сливочное (72,5%)</v>
      </c>
      <c r="C9" s="52" t="str">
        <f>'Меню 2 кв 2023'!P11</f>
        <v>кг</v>
      </c>
      <c r="D9" s="79">
        <f>'Меню 2 кв 2023'!Q11</f>
        <v>490</v>
      </c>
      <c r="E9" s="238">
        <f>5+10</f>
        <v>15</v>
      </c>
      <c r="F9" s="50">
        <f t="shared" si="0"/>
        <v>7.35</v>
      </c>
      <c r="G9" s="238">
        <f>2+6+10</f>
        <v>18</v>
      </c>
      <c r="H9" s="50">
        <f t="shared" si="9"/>
        <v>8.82</v>
      </c>
      <c r="I9" s="238"/>
      <c r="J9" s="50">
        <f t="shared" si="10"/>
        <v>0</v>
      </c>
      <c r="K9" s="238">
        <f>3+5</f>
        <v>8</v>
      </c>
      <c r="L9" s="50">
        <f t="shared" si="11"/>
        <v>3.92</v>
      </c>
      <c r="M9" s="244">
        <f>5+20+5+3</f>
        <v>33</v>
      </c>
      <c r="N9" s="50">
        <f t="shared" si="12"/>
        <v>16.17</v>
      </c>
      <c r="O9" s="238">
        <v>6</v>
      </c>
      <c r="P9" s="50">
        <f t="shared" si="1"/>
        <v>2.94</v>
      </c>
      <c r="Q9" s="238"/>
      <c r="R9" s="50">
        <f t="shared" si="2"/>
        <v>0</v>
      </c>
      <c r="S9" s="238">
        <f>5+15</f>
        <v>20</v>
      </c>
      <c r="T9" s="50">
        <f t="shared" si="3"/>
        <v>9.8</v>
      </c>
      <c r="U9" s="238">
        <v>8</v>
      </c>
      <c r="V9" s="50">
        <f t="shared" si="4"/>
        <v>3.92</v>
      </c>
      <c r="W9" s="238">
        <v>6</v>
      </c>
      <c r="X9" s="50">
        <f t="shared" si="5"/>
        <v>2.94</v>
      </c>
      <c r="Y9" s="57">
        <f t="shared" si="6"/>
        <v>114</v>
      </c>
      <c r="Z9" s="50">
        <f t="shared" si="7"/>
        <v>55.86</v>
      </c>
      <c r="AA9" s="49">
        <f t="shared" si="8"/>
        <v>456</v>
      </c>
    </row>
    <row r="10" spans="1:27" ht="15">
      <c r="A10" s="53">
        <v>8</v>
      </c>
      <c r="B10" s="51" t="str">
        <f>'Меню 2 кв 2023'!O12</f>
        <v>Сметана (15%)</v>
      </c>
      <c r="C10" s="52" t="str">
        <f>'Меню 2 кв 2023'!P12</f>
        <v>кг</v>
      </c>
      <c r="D10" s="79">
        <f>'Меню 2 кв 2023'!Q12</f>
        <v>182</v>
      </c>
      <c r="E10" s="238"/>
      <c r="F10" s="50">
        <f t="shared" si="0"/>
        <v>0</v>
      </c>
      <c r="G10" s="238"/>
      <c r="H10" s="50">
        <f t="shared" si="9"/>
        <v>0</v>
      </c>
      <c r="I10" s="238">
        <v>16</v>
      </c>
      <c r="J10" s="50">
        <f t="shared" si="10"/>
        <v>2.91</v>
      </c>
      <c r="K10" s="238">
        <v>12</v>
      </c>
      <c r="L10" s="50">
        <f t="shared" si="11"/>
        <v>2.18</v>
      </c>
      <c r="M10" s="244"/>
      <c r="N10" s="50">
        <f t="shared" si="12"/>
        <v>0</v>
      </c>
      <c r="O10" s="238">
        <v>13</v>
      </c>
      <c r="P10" s="50">
        <f t="shared" si="1"/>
        <v>2.37</v>
      </c>
      <c r="Q10" s="238"/>
      <c r="R10" s="50">
        <f t="shared" si="2"/>
        <v>0</v>
      </c>
      <c r="S10" s="238">
        <v>20</v>
      </c>
      <c r="T10" s="50">
        <f t="shared" si="3"/>
        <v>3.64</v>
      </c>
      <c r="U10" s="238">
        <v>10</v>
      </c>
      <c r="V10" s="50">
        <f t="shared" si="4"/>
        <v>1.82</v>
      </c>
      <c r="W10" s="238">
        <v>21</v>
      </c>
      <c r="X10" s="50">
        <f t="shared" si="5"/>
        <v>3.82</v>
      </c>
      <c r="Y10" s="57">
        <f t="shared" si="6"/>
        <v>92</v>
      </c>
      <c r="Z10" s="50">
        <f t="shared" si="7"/>
        <v>16.74</v>
      </c>
      <c r="AA10" s="49">
        <f t="shared" si="8"/>
        <v>368</v>
      </c>
    </row>
    <row r="11" spans="1:27" ht="15">
      <c r="A11" s="53">
        <v>9</v>
      </c>
      <c r="B11" s="51" t="str">
        <f>'Меню 2 кв 2023'!O13</f>
        <v>Творог (5%)</v>
      </c>
      <c r="C11" s="52" t="str">
        <f>'Меню 2 кв 2023'!P13</f>
        <v>кг</v>
      </c>
      <c r="D11" s="79">
        <f>'Меню 2 кв 2023'!Q13</f>
        <v>203</v>
      </c>
      <c r="E11" s="238"/>
      <c r="F11" s="50">
        <f t="shared" si="0"/>
        <v>0</v>
      </c>
      <c r="G11" s="238"/>
      <c r="H11" s="50">
        <f t="shared" si="9"/>
        <v>0</v>
      </c>
      <c r="I11" s="238"/>
      <c r="J11" s="50">
        <f t="shared" si="10"/>
        <v>0</v>
      </c>
      <c r="K11" s="238"/>
      <c r="L11" s="50">
        <f t="shared" si="11"/>
        <v>0</v>
      </c>
      <c r="M11" s="244"/>
      <c r="N11" s="50">
        <f t="shared" si="12"/>
        <v>0</v>
      </c>
      <c r="O11" s="238"/>
      <c r="P11" s="50">
        <f t="shared" si="1"/>
        <v>0</v>
      </c>
      <c r="Q11" s="238"/>
      <c r="R11" s="50">
        <f t="shared" si="2"/>
        <v>0</v>
      </c>
      <c r="S11" s="238"/>
      <c r="T11" s="50">
        <f t="shared" si="3"/>
        <v>0</v>
      </c>
      <c r="U11" s="238">
        <v>143.5</v>
      </c>
      <c r="V11" s="50">
        <f t="shared" si="4"/>
        <v>29.13</v>
      </c>
      <c r="W11" s="238"/>
      <c r="X11" s="50">
        <f t="shared" si="5"/>
        <v>0</v>
      </c>
      <c r="Y11" s="57">
        <f t="shared" si="6"/>
        <v>143.5</v>
      </c>
      <c r="Z11" s="50">
        <f t="shared" si="7"/>
        <v>29.13</v>
      </c>
      <c r="AA11" s="49">
        <f t="shared" si="8"/>
        <v>574</v>
      </c>
    </row>
    <row r="12" spans="1:27" ht="15">
      <c r="A12" s="53">
        <v>10</v>
      </c>
      <c r="B12" s="51" t="str">
        <f>'Меню 2 кв 2023'!O14</f>
        <v>Сыр твердый (45%)</v>
      </c>
      <c r="C12" s="52" t="str">
        <f>'Меню 2 кв 2023'!P14</f>
        <v>кг</v>
      </c>
      <c r="D12" s="79">
        <f>'Меню 2 кв 2023'!Q14</f>
        <v>528</v>
      </c>
      <c r="E12" s="238">
        <v>27</v>
      </c>
      <c r="F12" s="50">
        <f t="shared" si="0"/>
        <v>14.26</v>
      </c>
      <c r="G12" s="238"/>
      <c r="H12" s="50">
        <f t="shared" si="9"/>
        <v>0</v>
      </c>
      <c r="I12" s="238">
        <v>16</v>
      </c>
      <c r="J12" s="50">
        <f t="shared" si="10"/>
        <v>8.45</v>
      </c>
      <c r="K12" s="238">
        <v>10.5</v>
      </c>
      <c r="L12" s="50">
        <f t="shared" si="11"/>
        <v>5.54</v>
      </c>
      <c r="M12" s="244">
        <v>21</v>
      </c>
      <c r="N12" s="50">
        <f t="shared" si="12"/>
        <v>11.09</v>
      </c>
      <c r="O12" s="238"/>
      <c r="P12" s="50">
        <f t="shared" si="1"/>
        <v>0</v>
      </c>
      <c r="Q12" s="238"/>
      <c r="R12" s="50">
        <f t="shared" si="2"/>
        <v>0</v>
      </c>
      <c r="S12" s="238"/>
      <c r="T12" s="50">
        <f t="shared" si="3"/>
        <v>0</v>
      </c>
      <c r="U12" s="238"/>
      <c r="V12" s="50">
        <f t="shared" si="4"/>
        <v>0</v>
      </c>
      <c r="W12" s="238"/>
      <c r="X12" s="50">
        <f t="shared" si="5"/>
        <v>0</v>
      </c>
      <c r="Y12" s="57">
        <f t="shared" si="6"/>
        <v>74.5</v>
      </c>
      <c r="Z12" s="50">
        <f t="shared" si="7"/>
        <v>39.34</v>
      </c>
      <c r="AA12" s="49">
        <f t="shared" si="8"/>
        <v>298</v>
      </c>
    </row>
    <row r="13" spans="1:27" ht="30">
      <c r="A13" s="53">
        <v>11</v>
      </c>
      <c r="B13" s="51" t="str">
        <f>'Меню 2 кв 2023'!O21</f>
        <v>Молоко сгущенное цельное с сахаром (8,5%)</v>
      </c>
      <c r="C13" s="52" t="str">
        <f>'Меню 2 кв 2023'!P21</f>
        <v>кг</v>
      </c>
      <c r="D13" s="79">
        <f>'Меню 2 кв 2023'!Q21</f>
        <v>240</v>
      </c>
      <c r="E13" s="238"/>
      <c r="F13" s="50">
        <f t="shared" si="0"/>
        <v>0</v>
      </c>
      <c r="G13" s="238"/>
      <c r="H13" s="50">
        <f t="shared" si="9"/>
        <v>0</v>
      </c>
      <c r="I13" s="238"/>
      <c r="J13" s="50">
        <f t="shared" si="10"/>
        <v>0</v>
      </c>
      <c r="K13" s="238"/>
      <c r="L13" s="50">
        <f t="shared" si="11"/>
        <v>0</v>
      </c>
      <c r="M13" s="244"/>
      <c r="N13" s="50">
        <f t="shared" si="12"/>
        <v>0</v>
      </c>
      <c r="O13" s="238"/>
      <c r="P13" s="50">
        <f t="shared" si="1"/>
        <v>0</v>
      </c>
      <c r="Q13" s="238"/>
      <c r="R13" s="50">
        <f t="shared" si="2"/>
        <v>0</v>
      </c>
      <c r="S13" s="238"/>
      <c r="T13" s="50">
        <f t="shared" si="3"/>
        <v>0</v>
      </c>
      <c r="U13" s="238">
        <v>30</v>
      </c>
      <c r="V13" s="50">
        <f t="shared" si="4"/>
        <v>7.2</v>
      </c>
      <c r="W13" s="238"/>
      <c r="X13" s="50">
        <f t="shared" si="5"/>
        <v>0</v>
      </c>
      <c r="Y13" s="57">
        <f t="shared" si="6"/>
        <v>30</v>
      </c>
      <c r="Z13" s="50">
        <f t="shared" si="7"/>
        <v>7.2</v>
      </c>
      <c r="AA13" s="49">
        <f t="shared" si="8"/>
        <v>120</v>
      </c>
    </row>
    <row r="14" spans="1:27" ht="15">
      <c r="A14" s="53">
        <v>12</v>
      </c>
      <c r="B14" s="51" t="str">
        <f>'Меню 2 кв 2023'!O22</f>
        <v>Картофель (1 сорт)</v>
      </c>
      <c r="C14" s="52" t="str">
        <f>'Меню 2 кв 2023'!P22</f>
        <v>кг</v>
      </c>
      <c r="D14" s="79">
        <f>'Меню 2 кв 2023'!Q22</f>
        <v>57</v>
      </c>
      <c r="E14" s="238"/>
      <c r="F14" s="50">
        <f t="shared" si="0"/>
        <v>0</v>
      </c>
      <c r="G14" s="238"/>
      <c r="H14" s="50">
        <f t="shared" si="9"/>
        <v>0</v>
      </c>
      <c r="I14" s="238"/>
      <c r="J14" s="50">
        <f t="shared" si="10"/>
        <v>0</v>
      </c>
      <c r="K14" s="238">
        <v>193</v>
      </c>
      <c r="L14" s="50">
        <f t="shared" si="11"/>
        <v>11</v>
      </c>
      <c r="M14" s="244"/>
      <c r="N14" s="50">
        <f t="shared" si="12"/>
        <v>0</v>
      </c>
      <c r="O14" s="238"/>
      <c r="P14" s="50">
        <f t="shared" si="1"/>
        <v>0</v>
      </c>
      <c r="Q14" s="238"/>
      <c r="R14" s="50">
        <f t="shared" si="2"/>
        <v>0</v>
      </c>
      <c r="S14" s="238">
        <v>214</v>
      </c>
      <c r="T14" s="50">
        <f t="shared" si="3"/>
        <v>12.2</v>
      </c>
      <c r="U14" s="238"/>
      <c r="V14" s="50">
        <f t="shared" si="4"/>
        <v>0</v>
      </c>
      <c r="W14" s="238"/>
      <c r="X14" s="50">
        <f t="shared" si="5"/>
        <v>0</v>
      </c>
      <c r="Y14" s="57">
        <f t="shared" si="6"/>
        <v>407</v>
      </c>
      <c r="Z14" s="50">
        <f t="shared" si="7"/>
        <v>23.2</v>
      </c>
      <c r="AA14" s="49">
        <f t="shared" si="8"/>
        <v>1628</v>
      </c>
    </row>
    <row r="15" spans="1:27" ht="15">
      <c r="A15" s="53">
        <v>13</v>
      </c>
      <c r="B15" s="51" t="str">
        <f>'Меню 2 кв 2023'!O23</f>
        <v>Капуста белокачанная (1 сорт)</v>
      </c>
      <c r="C15" s="52" t="str">
        <f>'Меню 2 кв 2023'!P23</f>
        <v>кг</v>
      </c>
      <c r="D15" s="79">
        <f>'Меню 2 кв 2023'!Q23</f>
        <v>47</v>
      </c>
      <c r="E15" s="238"/>
      <c r="F15" s="50">
        <f t="shared" si="0"/>
        <v>0</v>
      </c>
      <c r="G15" s="238"/>
      <c r="H15" s="50">
        <f t="shared" si="9"/>
        <v>0</v>
      </c>
      <c r="I15" s="238"/>
      <c r="J15" s="50">
        <f t="shared" si="10"/>
        <v>0</v>
      </c>
      <c r="K15" s="238"/>
      <c r="L15" s="50">
        <f t="shared" si="11"/>
        <v>0</v>
      </c>
      <c r="M15" s="244"/>
      <c r="N15" s="50">
        <f t="shared" si="12"/>
        <v>0</v>
      </c>
      <c r="O15" s="238"/>
      <c r="P15" s="50">
        <f t="shared" si="1"/>
        <v>0</v>
      </c>
      <c r="Q15" s="238"/>
      <c r="R15" s="50">
        <f t="shared" si="2"/>
        <v>0</v>
      </c>
      <c r="S15" s="238"/>
      <c r="T15" s="50">
        <f t="shared" si="3"/>
        <v>0</v>
      </c>
      <c r="U15" s="238"/>
      <c r="V15" s="50">
        <f t="shared" si="4"/>
        <v>0</v>
      </c>
      <c r="W15" s="238"/>
      <c r="X15" s="50">
        <f t="shared" si="5"/>
        <v>0</v>
      </c>
      <c r="Y15" s="57">
        <f t="shared" si="6"/>
        <v>0</v>
      </c>
      <c r="Z15" s="50">
        <f t="shared" si="7"/>
        <v>0</v>
      </c>
      <c r="AA15" s="49">
        <f t="shared" si="8"/>
        <v>0</v>
      </c>
    </row>
    <row r="16" spans="1:27" ht="15">
      <c r="A16" s="53">
        <v>14</v>
      </c>
      <c r="B16" s="51" t="str">
        <f>'Меню 2 кв 2023'!O24</f>
        <v>Лук репчатый (1 сорт)</v>
      </c>
      <c r="C16" s="52" t="str">
        <f>'Меню 2 кв 2023'!P24</f>
        <v>кг</v>
      </c>
      <c r="D16" s="79">
        <f>'Меню 2 кв 2023'!Q24</f>
        <v>46</v>
      </c>
      <c r="E16" s="238"/>
      <c r="F16" s="50">
        <f t="shared" si="0"/>
        <v>0</v>
      </c>
      <c r="G16" s="238">
        <v>10</v>
      </c>
      <c r="H16" s="50">
        <f t="shared" si="9"/>
        <v>0.46</v>
      </c>
      <c r="I16" s="238"/>
      <c r="J16" s="50">
        <f t="shared" si="10"/>
        <v>0</v>
      </c>
      <c r="K16" s="238">
        <v>12</v>
      </c>
      <c r="L16" s="50">
        <f t="shared" si="11"/>
        <v>0.55</v>
      </c>
      <c r="M16" s="244"/>
      <c r="N16" s="50">
        <f t="shared" si="12"/>
        <v>0</v>
      </c>
      <c r="O16" s="238">
        <f>13+12</f>
        <v>25</v>
      </c>
      <c r="P16" s="50">
        <f t="shared" si="1"/>
        <v>1.15</v>
      </c>
      <c r="Q16" s="238">
        <v>15</v>
      </c>
      <c r="R16" s="50">
        <f t="shared" si="2"/>
        <v>0.69</v>
      </c>
      <c r="S16" s="238">
        <v>18</v>
      </c>
      <c r="T16" s="50">
        <f t="shared" si="3"/>
        <v>0.83</v>
      </c>
      <c r="U16" s="238"/>
      <c r="V16" s="50">
        <f t="shared" si="4"/>
        <v>0</v>
      </c>
      <c r="W16" s="238">
        <f>22+3</f>
        <v>25</v>
      </c>
      <c r="X16" s="50">
        <f t="shared" si="5"/>
        <v>1.15</v>
      </c>
      <c r="Y16" s="57">
        <f t="shared" si="6"/>
        <v>105</v>
      </c>
      <c r="Z16" s="50">
        <f t="shared" si="7"/>
        <v>4.83</v>
      </c>
      <c r="AA16" s="49">
        <f t="shared" si="8"/>
        <v>420</v>
      </c>
    </row>
    <row r="17" spans="1:27" ht="15">
      <c r="A17" s="53">
        <v>15</v>
      </c>
      <c r="B17" s="51" t="str">
        <f>'Меню 2 кв 2023'!O25</f>
        <v>Морковь (1 сорт)</v>
      </c>
      <c r="C17" s="52" t="str">
        <f>'Меню 2 кв 2023'!P25</f>
        <v>кг</v>
      </c>
      <c r="D17" s="79">
        <f>'Меню 2 кв 2023'!Q25</f>
        <v>66</v>
      </c>
      <c r="E17" s="238"/>
      <c r="F17" s="50">
        <f t="shared" si="0"/>
        <v>0</v>
      </c>
      <c r="G17" s="238">
        <v>15</v>
      </c>
      <c r="H17" s="50">
        <f t="shared" si="9"/>
        <v>0.99</v>
      </c>
      <c r="I17" s="238"/>
      <c r="J17" s="50">
        <f t="shared" si="10"/>
        <v>0</v>
      </c>
      <c r="K17" s="238">
        <v>37</v>
      </c>
      <c r="L17" s="50">
        <f t="shared" si="11"/>
        <v>2.44</v>
      </c>
      <c r="M17" s="244"/>
      <c r="N17" s="50">
        <f t="shared" si="12"/>
        <v>0</v>
      </c>
      <c r="O17" s="238"/>
      <c r="P17" s="50">
        <f t="shared" si="1"/>
        <v>0</v>
      </c>
      <c r="Q17" s="238">
        <v>15</v>
      </c>
      <c r="R17" s="50">
        <f t="shared" si="2"/>
        <v>0.99</v>
      </c>
      <c r="S17" s="238"/>
      <c r="T17" s="50">
        <f t="shared" si="3"/>
        <v>0</v>
      </c>
      <c r="U17" s="238"/>
      <c r="V17" s="50">
        <f t="shared" si="4"/>
        <v>0</v>
      </c>
      <c r="W17" s="238"/>
      <c r="X17" s="50">
        <f t="shared" si="5"/>
        <v>0</v>
      </c>
      <c r="Y17" s="57">
        <f t="shared" si="6"/>
        <v>67</v>
      </c>
      <c r="Z17" s="50">
        <f t="shared" si="7"/>
        <v>4.42</v>
      </c>
      <c r="AA17" s="49">
        <f t="shared" si="8"/>
        <v>268</v>
      </c>
    </row>
    <row r="18" spans="1:27" ht="15">
      <c r="A18" s="53">
        <v>16</v>
      </c>
      <c r="B18" s="51" t="str">
        <f>'Меню 2 кв 2023'!O26</f>
        <v>Свекла (1 сорт)</v>
      </c>
      <c r="C18" s="52" t="str">
        <f>'Меню 2 кв 2023'!P26</f>
        <v>кг</v>
      </c>
      <c r="D18" s="79">
        <f>'Меню 2 кв 2023'!Q26</f>
        <v>45</v>
      </c>
      <c r="E18" s="238"/>
      <c r="F18" s="50">
        <f t="shared" si="0"/>
        <v>0</v>
      </c>
      <c r="G18" s="238"/>
      <c r="H18" s="50">
        <f t="shared" si="9"/>
        <v>0</v>
      </c>
      <c r="I18" s="238"/>
      <c r="J18" s="50">
        <f t="shared" si="10"/>
        <v>0</v>
      </c>
      <c r="K18" s="238"/>
      <c r="L18" s="50">
        <f t="shared" si="11"/>
        <v>0</v>
      </c>
      <c r="M18" s="244"/>
      <c r="N18" s="50">
        <f t="shared" si="12"/>
        <v>0</v>
      </c>
      <c r="O18" s="238"/>
      <c r="P18" s="50">
        <f t="shared" si="1"/>
        <v>0</v>
      </c>
      <c r="Q18" s="238">
        <v>72</v>
      </c>
      <c r="R18" s="50">
        <f t="shared" si="2"/>
        <v>3.24</v>
      </c>
      <c r="S18" s="238"/>
      <c r="T18" s="50">
        <f t="shared" si="3"/>
        <v>0</v>
      </c>
      <c r="U18" s="238"/>
      <c r="V18" s="50">
        <f t="shared" si="4"/>
        <v>0</v>
      </c>
      <c r="W18" s="238"/>
      <c r="X18" s="50">
        <f t="shared" si="5"/>
        <v>0</v>
      </c>
      <c r="Y18" s="57">
        <f t="shared" si="6"/>
        <v>72</v>
      </c>
      <c r="Z18" s="50">
        <f t="shared" si="7"/>
        <v>3.24</v>
      </c>
      <c r="AA18" s="49">
        <f t="shared" si="8"/>
        <v>288</v>
      </c>
    </row>
    <row r="19" spans="1:27" ht="30">
      <c r="A19" s="53">
        <v>17</v>
      </c>
      <c r="B19" s="51" t="str">
        <f>'Меню 2 кв 2023'!O27</f>
        <v>Огурцы консервированные без уксуса (1с)</v>
      </c>
      <c r="C19" s="52" t="str">
        <f>'Меню 2 кв 2023'!P27</f>
        <v>кг</v>
      </c>
      <c r="D19" s="79">
        <f>'Меню 2 кв 2023'!Q27</f>
        <v>70</v>
      </c>
      <c r="E19" s="238"/>
      <c r="F19" s="50">
        <f t="shared" si="0"/>
        <v>0</v>
      </c>
      <c r="G19" s="238"/>
      <c r="H19" s="50">
        <f t="shared" si="9"/>
        <v>0</v>
      </c>
      <c r="I19" s="238"/>
      <c r="J19" s="50">
        <f t="shared" si="10"/>
        <v>0</v>
      </c>
      <c r="K19" s="238"/>
      <c r="L19" s="50">
        <f t="shared" si="11"/>
        <v>0</v>
      </c>
      <c r="M19" s="244"/>
      <c r="N19" s="50">
        <f t="shared" si="12"/>
        <v>0</v>
      </c>
      <c r="O19" s="238">
        <v>61</v>
      </c>
      <c r="P19" s="50">
        <f t="shared" si="1"/>
        <v>4.27</v>
      </c>
      <c r="Q19" s="238"/>
      <c r="R19" s="50">
        <f t="shared" si="2"/>
        <v>0</v>
      </c>
      <c r="S19" s="238"/>
      <c r="T19" s="50">
        <f t="shared" si="3"/>
        <v>0</v>
      </c>
      <c r="U19" s="238"/>
      <c r="V19" s="50">
        <f t="shared" si="4"/>
        <v>0</v>
      </c>
      <c r="W19" s="238"/>
      <c r="X19" s="50">
        <f t="shared" si="5"/>
        <v>0</v>
      </c>
      <c r="Y19" s="57">
        <f t="shared" si="6"/>
        <v>61</v>
      </c>
      <c r="Z19" s="50">
        <f t="shared" si="7"/>
        <v>4.27</v>
      </c>
      <c r="AA19" s="49">
        <f t="shared" si="8"/>
        <v>244</v>
      </c>
    </row>
    <row r="20" spans="1:27" ht="30">
      <c r="A20" s="53">
        <v>18</v>
      </c>
      <c r="B20" s="51" t="str">
        <f>'Меню 2 кв 2023'!O28</f>
        <v>Икра кабачковая для дет. питания</v>
      </c>
      <c r="C20" s="52" t="str">
        <f>'Меню 2 кв 2023'!P28</f>
        <v>кг</v>
      </c>
      <c r="D20" s="79">
        <f>'Меню 2 кв 2023'!Q28</f>
        <v>110</v>
      </c>
      <c r="E20" s="238"/>
      <c r="F20" s="50">
        <f t="shared" si="0"/>
        <v>0</v>
      </c>
      <c r="G20" s="238"/>
      <c r="H20" s="50">
        <f t="shared" si="9"/>
        <v>0</v>
      </c>
      <c r="I20" s="238">
        <v>100</v>
      </c>
      <c r="J20" s="50">
        <f t="shared" si="10"/>
        <v>11</v>
      </c>
      <c r="K20" s="238"/>
      <c r="L20" s="50">
        <f t="shared" si="11"/>
        <v>0</v>
      </c>
      <c r="M20" s="244"/>
      <c r="N20" s="50">
        <f t="shared" si="12"/>
        <v>0</v>
      </c>
      <c r="O20" s="238"/>
      <c r="P20" s="50">
        <f t="shared" si="1"/>
        <v>0</v>
      </c>
      <c r="Q20" s="238"/>
      <c r="R20" s="50">
        <f t="shared" si="2"/>
        <v>0</v>
      </c>
      <c r="S20" s="238"/>
      <c r="T20" s="50">
        <f t="shared" si="3"/>
        <v>0</v>
      </c>
      <c r="U20" s="238"/>
      <c r="V20" s="50">
        <f t="shared" si="4"/>
        <v>0</v>
      </c>
      <c r="W20" s="238"/>
      <c r="X20" s="50">
        <f t="shared" si="5"/>
        <v>0</v>
      </c>
      <c r="Y20" s="57">
        <f t="shared" si="6"/>
        <v>100</v>
      </c>
      <c r="Z20" s="50">
        <f t="shared" si="7"/>
        <v>11</v>
      </c>
      <c r="AA20" s="49">
        <f t="shared" si="8"/>
        <v>400</v>
      </c>
    </row>
    <row r="21" spans="1:27" ht="30">
      <c r="A21" s="53">
        <v>19</v>
      </c>
      <c r="B21" s="51" t="str">
        <f>'Меню 2 кв 2023'!O29</f>
        <v>Горошек зеленый (сорт салатный)</v>
      </c>
      <c r="C21" s="52" t="str">
        <f>'Меню 2 кв 2023'!P29</f>
        <v>кг</v>
      </c>
      <c r="D21" s="79">
        <f>'Меню 2 кв 2023'!Q29</f>
        <v>120</v>
      </c>
      <c r="E21" s="238"/>
      <c r="F21" s="50">
        <f t="shared" si="0"/>
        <v>0</v>
      </c>
      <c r="G21" s="238"/>
      <c r="H21" s="50">
        <f t="shared" si="9"/>
        <v>0</v>
      </c>
      <c r="I21" s="238"/>
      <c r="J21" s="50">
        <f t="shared" si="10"/>
        <v>0</v>
      </c>
      <c r="K21" s="238"/>
      <c r="L21" s="50">
        <f t="shared" si="11"/>
        <v>0</v>
      </c>
      <c r="M21" s="244"/>
      <c r="N21" s="50">
        <f t="shared" si="12"/>
        <v>0</v>
      </c>
      <c r="O21" s="238"/>
      <c r="P21" s="50">
        <f t="shared" si="1"/>
        <v>0</v>
      </c>
      <c r="Q21" s="238"/>
      <c r="R21" s="50">
        <f t="shared" si="2"/>
        <v>0</v>
      </c>
      <c r="S21" s="238"/>
      <c r="T21" s="50">
        <f t="shared" si="3"/>
        <v>0</v>
      </c>
      <c r="U21" s="238"/>
      <c r="V21" s="50">
        <f t="shared" si="4"/>
        <v>0</v>
      </c>
      <c r="W21" s="238">
        <v>43</v>
      </c>
      <c r="X21" s="50">
        <f t="shared" si="5"/>
        <v>5.16</v>
      </c>
      <c r="Y21" s="57">
        <f t="shared" si="6"/>
        <v>43</v>
      </c>
      <c r="Z21" s="50">
        <f t="shared" si="7"/>
        <v>5.16</v>
      </c>
      <c r="AA21" s="49">
        <f t="shared" si="8"/>
        <v>172</v>
      </c>
    </row>
    <row r="22" spans="1:27" ht="30">
      <c r="A22" s="53">
        <v>20</v>
      </c>
      <c r="B22" s="51" t="str">
        <f>'Меню 2 кв 2023'!O30</f>
        <v>Томатная паста с содержанием с/в (25-30%)</v>
      </c>
      <c r="C22" s="52" t="str">
        <f>'Меню 2 кв 2023'!P30</f>
        <v>кг</v>
      </c>
      <c r="D22" s="79">
        <f>'Меню 2 кв 2023'!Q30</f>
        <v>123</v>
      </c>
      <c r="E22" s="238"/>
      <c r="F22" s="50">
        <f t="shared" si="0"/>
        <v>0</v>
      </c>
      <c r="G22" s="238">
        <v>2</v>
      </c>
      <c r="H22" s="50">
        <f t="shared" si="9"/>
        <v>0.25</v>
      </c>
      <c r="I22" s="238">
        <v>6</v>
      </c>
      <c r="J22" s="50">
        <f t="shared" si="10"/>
        <v>0.74</v>
      </c>
      <c r="K22" s="238">
        <v>5</v>
      </c>
      <c r="L22" s="50">
        <f t="shared" si="11"/>
        <v>0.62</v>
      </c>
      <c r="M22" s="244"/>
      <c r="N22" s="50">
        <f t="shared" si="12"/>
        <v>0</v>
      </c>
      <c r="O22" s="238">
        <v>5</v>
      </c>
      <c r="P22" s="50">
        <f t="shared" si="1"/>
        <v>0.62</v>
      </c>
      <c r="Q22" s="238">
        <v>2</v>
      </c>
      <c r="R22" s="50">
        <f t="shared" si="2"/>
        <v>0.25</v>
      </c>
      <c r="S22" s="238">
        <v>7</v>
      </c>
      <c r="T22" s="50">
        <f t="shared" si="3"/>
        <v>0.86</v>
      </c>
      <c r="U22" s="238"/>
      <c r="V22" s="50">
        <f t="shared" si="4"/>
        <v>0</v>
      </c>
      <c r="W22" s="238"/>
      <c r="X22" s="50">
        <f t="shared" si="5"/>
        <v>0</v>
      </c>
      <c r="Y22" s="57">
        <f t="shared" si="6"/>
        <v>27</v>
      </c>
      <c r="Z22" s="50">
        <f t="shared" si="7"/>
        <v>3.32</v>
      </c>
      <c r="AA22" s="49">
        <f t="shared" si="8"/>
        <v>108</v>
      </c>
    </row>
    <row r="23" spans="1:27" ht="15">
      <c r="A23" s="53">
        <v>21</v>
      </c>
      <c r="B23" s="51" t="str">
        <f>'Меню 2 кв 2023'!O31</f>
        <v>Яблоки свежие (1 сорт)</v>
      </c>
      <c r="C23" s="52" t="str">
        <f>'Меню 2 кв 2023'!P31</f>
        <v>кг</v>
      </c>
      <c r="D23" s="79">
        <f>'Меню 2 кв 2023'!Q31</f>
        <v>112</v>
      </c>
      <c r="E23" s="238"/>
      <c r="F23" s="50">
        <f t="shared" si="0"/>
        <v>0</v>
      </c>
      <c r="G23" s="238"/>
      <c r="H23" s="50">
        <f t="shared" si="9"/>
        <v>0</v>
      </c>
      <c r="I23" s="238">
        <v>100</v>
      </c>
      <c r="J23" s="50">
        <f t="shared" si="10"/>
        <v>11.2</v>
      </c>
      <c r="K23" s="238"/>
      <c r="L23" s="50">
        <f t="shared" si="11"/>
        <v>0</v>
      </c>
      <c r="M23" s="244">
        <v>100</v>
      </c>
      <c r="N23" s="50">
        <f t="shared" si="12"/>
        <v>11.2</v>
      </c>
      <c r="O23" s="238">
        <v>70</v>
      </c>
      <c r="P23" s="50">
        <f t="shared" si="1"/>
        <v>7.84</v>
      </c>
      <c r="Q23" s="238"/>
      <c r="R23" s="50">
        <f t="shared" si="2"/>
        <v>0</v>
      </c>
      <c r="S23" s="238">
        <v>100</v>
      </c>
      <c r="T23" s="50">
        <f t="shared" si="3"/>
        <v>11.2</v>
      </c>
      <c r="U23" s="238"/>
      <c r="V23" s="50">
        <f t="shared" si="4"/>
        <v>0</v>
      </c>
      <c r="W23" s="238"/>
      <c r="X23" s="50">
        <f t="shared" si="5"/>
        <v>0</v>
      </c>
      <c r="Y23" s="57">
        <f t="shared" si="6"/>
        <v>370</v>
      </c>
      <c r="Z23" s="50">
        <f t="shared" si="7"/>
        <v>41.44</v>
      </c>
      <c r="AA23" s="49">
        <f t="shared" si="8"/>
        <v>1480</v>
      </c>
    </row>
    <row r="24" spans="1:27" ht="15">
      <c r="A24" s="53">
        <v>22</v>
      </c>
      <c r="B24" s="51" t="str">
        <f>'Меню 2 кв 2023'!O34</f>
        <v>Бананы свежие (1 сорт)</v>
      </c>
      <c r="C24" s="52" t="str">
        <f>'Меню 2 кв 2023'!P34</f>
        <v>кг</v>
      </c>
      <c r="D24" s="79">
        <f>'Меню 2 кв 2023'!Q34</f>
        <v>150</v>
      </c>
      <c r="E24" s="238">
        <v>105</v>
      </c>
      <c r="F24" s="50">
        <f t="shared" si="0"/>
        <v>15.75</v>
      </c>
      <c r="G24" s="238"/>
      <c r="H24" s="50">
        <f t="shared" si="9"/>
        <v>0</v>
      </c>
      <c r="I24" s="238"/>
      <c r="J24" s="50">
        <f t="shared" si="10"/>
        <v>0</v>
      </c>
      <c r="K24" s="238"/>
      <c r="L24" s="50">
        <f t="shared" si="11"/>
        <v>0</v>
      </c>
      <c r="M24" s="244"/>
      <c r="N24" s="50">
        <f t="shared" si="12"/>
        <v>0</v>
      </c>
      <c r="O24" s="238"/>
      <c r="P24" s="50">
        <f t="shared" si="1"/>
        <v>0</v>
      </c>
      <c r="Q24" s="238">
        <v>70</v>
      </c>
      <c r="R24" s="50">
        <f t="shared" si="2"/>
        <v>10.5</v>
      </c>
      <c r="S24" s="238"/>
      <c r="T24" s="50">
        <f t="shared" si="3"/>
        <v>0</v>
      </c>
      <c r="U24" s="238"/>
      <c r="V24" s="50">
        <f t="shared" si="4"/>
        <v>0</v>
      </c>
      <c r="W24" s="238"/>
      <c r="X24" s="50">
        <f t="shared" si="5"/>
        <v>0</v>
      </c>
      <c r="Y24" s="57">
        <f t="shared" si="6"/>
        <v>175</v>
      </c>
      <c r="Z24" s="50">
        <f t="shared" si="7"/>
        <v>26.25</v>
      </c>
      <c r="AA24" s="49">
        <f t="shared" si="8"/>
        <v>700</v>
      </c>
    </row>
    <row r="25" spans="1:27" ht="15">
      <c r="A25" s="53">
        <v>23</v>
      </c>
      <c r="B25" s="51" t="str">
        <f>'Меню 2 кв 2023'!O35</f>
        <v>Сухофрукты ассорти</v>
      </c>
      <c r="C25" s="52" t="str">
        <f>'Меню 2 кв 2023'!P35</f>
        <v>кг</v>
      </c>
      <c r="D25" s="79">
        <f>'Меню 2 кв 2023'!Q35</f>
        <v>148</v>
      </c>
      <c r="E25" s="238"/>
      <c r="F25" s="50">
        <f t="shared" si="0"/>
        <v>0</v>
      </c>
      <c r="G25" s="238"/>
      <c r="H25" s="50">
        <f t="shared" si="9"/>
        <v>0</v>
      </c>
      <c r="I25" s="238"/>
      <c r="J25" s="50">
        <f t="shared" si="10"/>
        <v>0</v>
      </c>
      <c r="K25" s="238"/>
      <c r="L25" s="50">
        <f t="shared" si="11"/>
        <v>0</v>
      </c>
      <c r="M25" s="244"/>
      <c r="N25" s="50">
        <f t="shared" si="12"/>
        <v>0</v>
      </c>
      <c r="O25" s="238"/>
      <c r="P25" s="50">
        <f t="shared" si="1"/>
        <v>0</v>
      </c>
      <c r="Q25" s="238"/>
      <c r="R25" s="50">
        <f t="shared" si="2"/>
        <v>0</v>
      </c>
      <c r="S25" s="238"/>
      <c r="T25" s="50">
        <f t="shared" si="3"/>
        <v>0</v>
      </c>
      <c r="U25" s="238"/>
      <c r="V25" s="50">
        <f t="shared" si="4"/>
        <v>0</v>
      </c>
      <c r="W25" s="238"/>
      <c r="X25" s="50">
        <f t="shared" si="5"/>
        <v>0</v>
      </c>
      <c r="Y25" s="57">
        <f t="shared" si="6"/>
        <v>0</v>
      </c>
      <c r="Z25" s="50">
        <f t="shared" si="7"/>
        <v>0</v>
      </c>
      <c r="AA25" s="49">
        <f t="shared" si="8"/>
        <v>0</v>
      </c>
    </row>
    <row r="26" spans="1:27" ht="15">
      <c r="A26" s="53">
        <v>24</v>
      </c>
      <c r="B26" s="51" t="str">
        <f>'Меню 2 кв 2023'!O36</f>
        <v>Изюм</v>
      </c>
      <c r="C26" s="52" t="str">
        <f>'Меню 2 кв 2023'!P36</f>
        <v>кг</v>
      </c>
      <c r="D26" s="79">
        <f>'Меню 2 кв 2023'!Q36</f>
        <v>260</v>
      </c>
      <c r="E26" s="238"/>
      <c r="F26" s="50">
        <f t="shared" si="0"/>
        <v>0</v>
      </c>
      <c r="G26" s="238"/>
      <c r="H26" s="50">
        <f t="shared" si="9"/>
        <v>0</v>
      </c>
      <c r="I26" s="238"/>
      <c r="J26" s="50">
        <f t="shared" si="10"/>
        <v>0</v>
      </c>
      <c r="K26" s="238"/>
      <c r="L26" s="50">
        <f t="shared" si="11"/>
        <v>0</v>
      </c>
      <c r="M26" s="244"/>
      <c r="N26" s="50">
        <f t="shared" si="12"/>
        <v>0</v>
      </c>
      <c r="O26" s="238"/>
      <c r="P26" s="50">
        <f t="shared" si="1"/>
        <v>0</v>
      </c>
      <c r="Q26" s="238"/>
      <c r="R26" s="50">
        <f t="shared" si="2"/>
        <v>0</v>
      </c>
      <c r="S26" s="238"/>
      <c r="T26" s="50">
        <f t="shared" si="3"/>
        <v>0</v>
      </c>
      <c r="U26" s="238"/>
      <c r="V26" s="50">
        <f t="shared" si="4"/>
        <v>0</v>
      </c>
      <c r="W26" s="238"/>
      <c r="X26" s="50">
        <f t="shared" si="5"/>
        <v>0</v>
      </c>
      <c r="Y26" s="57">
        <f t="shared" si="6"/>
        <v>0</v>
      </c>
      <c r="Z26" s="50">
        <f t="shared" si="7"/>
        <v>0</v>
      </c>
      <c r="AA26" s="49">
        <f t="shared" si="8"/>
        <v>0</v>
      </c>
    </row>
    <row r="27" spans="1:27" ht="15">
      <c r="A27" s="53">
        <v>25</v>
      </c>
      <c r="B27" s="51" t="str">
        <f>'Меню 2 кв 2023'!O37</f>
        <v>Повидло фруктовое (1 сорт)</v>
      </c>
      <c r="C27" s="52" t="str">
        <f>'Меню 2 кв 2023'!P37</f>
        <v>кг</v>
      </c>
      <c r="D27" s="79">
        <f>'Меню 2 кв 2023'!Q37</f>
        <v>120</v>
      </c>
      <c r="E27" s="238"/>
      <c r="F27" s="50">
        <f t="shared" si="0"/>
        <v>0</v>
      </c>
      <c r="G27" s="238"/>
      <c r="H27" s="50">
        <f t="shared" si="9"/>
        <v>0</v>
      </c>
      <c r="I27" s="238"/>
      <c r="J27" s="50">
        <f t="shared" si="10"/>
        <v>0</v>
      </c>
      <c r="K27" s="238"/>
      <c r="L27" s="50">
        <f t="shared" si="11"/>
        <v>0</v>
      </c>
      <c r="M27" s="244"/>
      <c r="N27" s="50">
        <f t="shared" si="12"/>
        <v>0</v>
      </c>
      <c r="O27" s="238"/>
      <c r="P27" s="50">
        <f t="shared" si="1"/>
        <v>0</v>
      </c>
      <c r="Q27" s="238"/>
      <c r="R27" s="50">
        <f t="shared" si="2"/>
        <v>0</v>
      </c>
      <c r="S27" s="238"/>
      <c r="T27" s="50">
        <f t="shared" si="3"/>
        <v>0</v>
      </c>
      <c r="U27" s="238"/>
      <c r="V27" s="50">
        <f t="shared" si="4"/>
        <v>0</v>
      </c>
      <c r="W27" s="238"/>
      <c r="X27" s="50">
        <f t="shared" si="5"/>
        <v>0</v>
      </c>
      <c r="Y27" s="57">
        <f t="shared" si="6"/>
        <v>0</v>
      </c>
      <c r="Z27" s="50">
        <f t="shared" si="7"/>
        <v>0</v>
      </c>
      <c r="AA27" s="49">
        <f t="shared" si="8"/>
        <v>0</v>
      </c>
    </row>
    <row r="28" spans="1:27" ht="15">
      <c r="A28" s="53">
        <v>26</v>
      </c>
      <c r="B28" s="51" t="str">
        <f>'Меню 2 кв 2023'!O38</f>
        <v>Сок фруктовый (1 литр)</v>
      </c>
      <c r="C28" s="52" t="str">
        <f>'Меню 2 кв 2023'!P38</f>
        <v>л</v>
      </c>
      <c r="D28" s="79">
        <f>'Меню 2 кв 2023'!Q38</f>
        <v>61</v>
      </c>
      <c r="E28" s="238"/>
      <c r="F28" s="50">
        <f t="shared" si="0"/>
        <v>0</v>
      </c>
      <c r="G28" s="238"/>
      <c r="H28" s="50">
        <f t="shared" si="9"/>
        <v>0</v>
      </c>
      <c r="I28" s="238"/>
      <c r="J28" s="50">
        <f t="shared" si="10"/>
        <v>0</v>
      </c>
      <c r="K28" s="238"/>
      <c r="L28" s="50">
        <f t="shared" si="11"/>
        <v>0</v>
      </c>
      <c r="M28" s="244"/>
      <c r="N28" s="50">
        <f t="shared" si="12"/>
        <v>0</v>
      </c>
      <c r="O28" s="238"/>
      <c r="P28" s="50">
        <f t="shared" si="1"/>
        <v>0</v>
      </c>
      <c r="Q28" s="238"/>
      <c r="R28" s="50">
        <f t="shared" si="2"/>
        <v>0</v>
      </c>
      <c r="S28" s="238"/>
      <c r="T28" s="50">
        <f t="shared" si="3"/>
        <v>0</v>
      </c>
      <c r="U28" s="238">
        <v>200</v>
      </c>
      <c r="V28" s="50">
        <f t="shared" si="4"/>
        <v>12.2</v>
      </c>
      <c r="W28" s="238"/>
      <c r="X28" s="50">
        <f t="shared" si="5"/>
        <v>0</v>
      </c>
      <c r="Y28" s="57">
        <f t="shared" si="6"/>
        <v>200</v>
      </c>
      <c r="Z28" s="50">
        <f t="shared" si="7"/>
        <v>12.2</v>
      </c>
      <c r="AA28" s="49">
        <f t="shared" si="8"/>
        <v>800</v>
      </c>
    </row>
    <row r="29" spans="1:27" ht="30">
      <c r="A29" s="53">
        <v>27</v>
      </c>
      <c r="B29" s="51" t="str">
        <f>'Меню 2 кв 2023'!O39</f>
        <v>Масло растительное, рафинированное</v>
      </c>
      <c r="C29" s="52" t="str">
        <f>'Меню 2 кв 2023'!P39</f>
        <v>кг</v>
      </c>
      <c r="D29" s="79">
        <f>'Меню 2 кв 2023'!Q39</f>
        <v>138</v>
      </c>
      <c r="E29" s="238">
        <v>7</v>
      </c>
      <c r="F29" s="50">
        <f t="shared" si="0"/>
        <v>0.97</v>
      </c>
      <c r="G29" s="238"/>
      <c r="H29" s="50">
        <f t="shared" si="9"/>
        <v>0</v>
      </c>
      <c r="I29" s="238">
        <v>4</v>
      </c>
      <c r="J29" s="50">
        <f t="shared" si="10"/>
        <v>0.55</v>
      </c>
      <c r="K29" s="238"/>
      <c r="L29" s="50">
        <f t="shared" si="11"/>
        <v>0</v>
      </c>
      <c r="M29" s="244">
        <f>4+3</f>
        <v>7</v>
      </c>
      <c r="N29" s="50">
        <f t="shared" si="12"/>
        <v>0.97</v>
      </c>
      <c r="O29" s="238">
        <f>5+3</f>
        <v>8</v>
      </c>
      <c r="P29" s="50">
        <f t="shared" si="1"/>
        <v>1.1</v>
      </c>
      <c r="Q29" s="238">
        <f>10+4</f>
        <v>14</v>
      </c>
      <c r="R29" s="50">
        <f t="shared" si="2"/>
        <v>1.93</v>
      </c>
      <c r="S29" s="238">
        <v>6</v>
      </c>
      <c r="T29" s="50">
        <f t="shared" si="3"/>
        <v>0.83</v>
      </c>
      <c r="U29" s="238"/>
      <c r="V29" s="50">
        <f t="shared" si="4"/>
        <v>0</v>
      </c>
      <c r="W29" s="238">
        <f>4+2</f>
        <v>6</v>
      </c>
      <c r="X29" s="50">
        <f t="shared" si="5"/>
        <v>0.83</v>
      </c>
      <c r="Y29" s="57">
        <f t="shared" si="6"/>
        <v>52</v>
      </c>
      <c r="Z29" s="50">
        <f t="shared" si="7"/>
        <v>7.18</v>
      </c>
      <c r="AA29" s="49">
        <f t="shared" si="8"/>
        <v>208</v>
      </c>
    </row>
    <row r="30" spans="1:27" ht="15">
      <c r="A30" s="53">
        <v>28</v>
      </c>
      <c r="B30" s="51" t="str">
        <f>'Меню 2 кв 2023'!O40</f>
        <v>Рыба с/м (1 сорт), минтай</v>
      </c>
      <c r="C30" s="52" t="str">
        <f>'Меню 2 кв 2023'!P40</f>
        <v>кг</v>
      </c>
      <c r="D30" s="79">
        <f>'Меню 2 кв 2023'!Q40</f>
        <v>207</v>
      </c>
      <c r="E30" s="238"/>
      <c r="F30" s="50">
        <f t="shared" si="0"/>
        <v>0</v>
      </c>
      <c r="G30" s="238"/>
      <c r="H30" s="50">
        <f t="shared" si="9"/>
        <v>0</v>
      </c>
      <c r="I30" s="238"/>
      <c r="J30" s="50">
        <f t="shared" si="10"/>
        <v>0</v>
      </c>
      <c r="K30" s="238">
        <v>137</v>
      </c>
      <c r="L30" s="50">
        <f t="shared" si="11"/>
        <v>28.36</v>
      </c>
      <c r="M30" s="244"/>
      <c r="N30" s="50">
        <f t="shared" si="12"/>
        <v>0</v>
      </c>
      <c r="O30" s="238"/>
      <c r="P30" s="50">
        <f t="shared" si="1"/>
        <v>0</v>
      </c>
      <c r="Q30" s="238"/>
      <c r="R30" s="50">
        <f t="shared" si="2"/>
        <v>0</v>
      </c>
      <c r="S30" s="238">
        <v>98</v>
      </c>
      <c r="T30" s="50">
        <f t="shared" si="3"/>
        <v>20.29</v>
      </c>
      <c r="U30" s="238"/>
      <c r="V30" s="50">
        <f t="shared" si="4"/>
        <v>0</v>
      </c>
      <c r="W30" s="238"/>
      <c r="X30" s="50">
        <f t="shared" si="5"/>
        <v>0</v>
      </c>
      <c r="Y30" s="57">
        <f t="shared" si="6"/>
        <v>235</v>
      </c>
      <c r="Z30" s="50">
        <f t="shared" si="7"/>
        <v>48.65</v>
      </c>
      <c r="AA30" s="49">
        <f t="shared" si="8"/>
        <v>940</v>
      </c>
    </row>
    <row r="31" spans="1:27" ht="15">
      <c r="A31" s="53">
        <v>29</v>
      </c>
      <c r="B31" s="51" t="str">
        <f>'Меню 2 кв 2023'!O41</f>
        <v>Консервы рыбные (сайра)</v>
      </c>
      <c r="C31" s="52" t="str">
        <f>'Меню 2 кв 2023'!P41</f>
        <v>кг</v>
      </c>
      <c r="D31" s="79">
        <f>'Меню 2 кв 2023'!Q41</f>
        <v>485</v>
      </c>
      <c r="E31" s="238"/>
      <c r="F31" s="50">
        <f t="shared" si="0"/>
        <v>0</v>
      </c>
      <c r="G31" s="238"/>
      <c r="H31" s="50">
        <f t="shared" si="9"/>
        <v>0</v>
      </c>
      <c r="I31" s="238"/>
      <c r="J31" s="50">
        <f t="shared" si="10"/>
        <v>0</v>
      </c>
      <c r="K31" s="238"/>
      <c r="L31" s="50">
        <f t="shared" si="11"/>
        <v>0</v>
      </c>
      <c r="M31" s="244"/>
      <c r="N31" s="50">
        <f t="shared" si="12"/>
        <v>0</v>
      </c>
      <c r="O31" s="238"/>
      <c r="P31" s="50">
        <f t="shared" si="1"/>
        <v>0</v>
      </c>
      <c r="Q31" s="238"/>
      <c r="R31" s="50">
        <f t="shared" si="2"/>
        <v>0</v>
      </c>
      <c r="S31" s="238"/>
      <c r="T31" s="50">
        <f t="shared" si="3"/>
        <v>0</v>
      </c>
      <c r="U31" s="238"/>
      <c r="V31" s="50">
        <f t="shared" si="4"/>
        <v>0</v>
      </c>
      <c r="W31" s="238"/>
      <c r="X31" s="50">
        <f t="shared" si="5"/>
        <v>0</v>
      </c>
      <c r="Y31" s="57">
        <f t="shared" si="6"/>
        <v>0</v>
      </c>
      <c r="Z31" s="50">
        <f t="shared" si="7"/>
        <v>0</v>
      </c>
      <c r="AA31" s="49">
        <f t="shared" si="8"/>
        <v>0</v>
      </c>
    </row>
    <row r="32" spans="1:27" ht="15">
      <c r="A32" s="53">
        <v>30</v>
      </c>
      <c r="B32" s="51" t="str">
        <f>'Меню 2 кв 2023'!O45</f>
        <v>Мука пшеничная (высший сорт)</v>
      </c>
      <c r="C32" s="52" t="str">
        <f>'Меню 2 кв 2023'!P45</f>
        <v>кг</v>
      </c>
      <c r="D32" s="79">
        <f>'Меню 2 кв 2023'!Q45</f>
        <v>38</v>
      </c>
      <c r="E32" s="238">
        <v>79</v>
      </c>
      <c r="F32" s="50">
        <f t="shared" si="0"/>
        <v>3</v>
      </c>
      <c r="G32" s="238">
        <v>3</v>
      </c>
      <c r="H32" s="50">
        <f t="shared" si="9"/>
        <v>0.11</v>
      </c>
      <c r="I32" s="238">
        <v>71</v>
      </c>
      <c r="J32" s="50">
        <f t="shared" si="10"/>
        <v>2.7</v>
      </c>
      <c r="K32" s="238">
        <v>4</v>
      </c>
      <c r="L32" s="50">
        <f t="shared" si="11"/>
        <v>0.15</v>
      </c>
      <c r="M32" s="244">
        <f>63+7</f>
        <v>70</v>
      </c>
      <c r="N32" s="50">
        <v>2.65</v>
      </c>
      <c r="O32" s="238">
        <v>4</v>
      </c>
      <c r="P32" s="50">
        <f t="shared" si="1"/>
        <v>0.15</v>
      </c>
      <c r="Q32" s="238"/>
      <c r="R32" s="50">
        <f t="shared" si="2"/>
        <v>0</v>
      </c>
      <c r="S32" s="238">
        <v>6</v>
      </c>
      <c r="T32" s="50">
        <f t="shared" si="3"/>
        <v>0.23</v>
      </c>
      <c r="U32" s="238">
        <v>20</v>
      </c>
      <c r="V32" s="50">
        <f t="shared" si="4"/>
        <v>0.76</v>
      </c>
      <c r="W32" s="238">
        <v>4</v>
      </c>
      <c r="X32" s="50">
        <f t="shared" si="5"/>
        <v>0.15</v>
      </c>
      <c r="Y32" s="57">
        <f t="shared" si="6"/>
        <v>261</v>
      </c>
      <c r="Z32" s="50">
        <f t="shared" si="7"/>
        <v>9.92</v>
      </c>
      <c r="AA32" s="49">
        <f t="shared" si="8"/>
        <v>1044</v>
      </c>
    </row>
    <row r="33" spans="1:27" ht="15">
      <c r="A33" s="53">
        <v>31</v>
      </c>
      <c r="B33" s="51" t="str">
        <f>'Меню 2 кв 2023'!O46</f>
        <v>Крупа гречневая, в инд. уп.</v>
      </c>
      <c r="C33" s="52" t="str">
        <f>'Меню 2 кв 2023'!P46</f>
        <v>кг</v>
      </c>
      <c r="D33" s="79">
        <f>'Меню 2 кв 2023'!Q46</f>
        <v>122</v>
      </c>
      <c r="E33" s="238"/>
      <c r="F33" s="50">
        <f t="shared" si="0"/>
        <v>0</v>
      </c>
      <c r="G33" s="238"/>
      <c r="H33" s="50">
        <f t="shared" si="9"/>
        <v>0</v>
      </c>
      <c r="I33" s="238"/>
      <c r="J33" s="50">
        <f t="shared" si="10"/>
        <v>0</v>
      </c>
      <c r="K33" s="238"/>
      <c r="L33" s="50">
        <f t="shared" si="11"/>
        <v>0</v>
      </c>
      <c r="M33" s="244">
        <v>24</v>
      </c>
      <c r="N33" s="50">
        <f t="shared" si="12"/>
        <v>2.93</v>
      </c>
      <c r="O33" s="238"/>
      <c r="P33" s="50">
        <f t="shared" si="1"/>
        <v>0</v>
      </c>
      <c r="Q33" s="238"/>
      <c r="R33" s="50">
        <f t="shared" si="2"/>
        <v>0</v>
      </c>
      <c r="S33" s="238"/>
      <c r="T33" s="50">
        <f t="shared" si="3"/>
        <v>0</v>
      </c>
      <c r="U33" s="238"/>
      <c r="V33" s="50">
        <f t="shared" si="4"/>
        <v>0</v>
      </c>
      <c r="W33" s="238"/>
      <c r="X33" s="50">
        <f t="shared" si="5"/>
        <v>0</v>
      </c>
      <c r="Y33" s="57">
        <f t="shared" si="6"/>
        <v>24</v>
      </c>
      <c r="Z33" s="50">
        <f t="shared" si="7"/>
        <v>2.93</v>
      </c>
      <c r="AA33" s="49">
        <f t="shared" si="8"/>
        <v>96</v>
      </c>
    </row>
    <row r="34" spans="1:27" ht="15" customHeight="1">
      <c r="A34" s="53">
        <v>32</v>
      </c>
      <c r="B34" s="51" t="str">
        <f>'Меню 2 кв 2023'!O48</f>
        <v>Крупа манная (1 сорт), в инд. уп.</v>
      </c>
      <c r="C34" s="52" t="str">
        <f>'Меню 2 кв 2023'!P48</f>
        <v>кг</v>
      </c>
      <c r="D34" s="79">
        <f>'Меню 2 кв 2023'!Q48</f>
        <v>56</v>
      </c>
      <c r="E34" s="238"/>
      <c r="F34" s="50">
        <f t="shared" si="0"/>
        <v>0</v>
      </c>
      <c r="G34" s="238"/>
      <c r="H34" s="50">
        <f t="shared" si="9"/>
        <v>0</v>
      </c>
      <c r="I34" s="238"/>
      <c r="J34" s="50">
        <f t="shared" si="10"/>
        <v>0</v>
      </c>
      <c r="K34" s="238"/>
      <c r="L34" s="50">
        <f t="shared" si="11"/>
        <v>0</v>
      </c>
      <c r="M34" s="244"/>
      <c r="N34" s="50">
        <f t="shared" si="12"/>
        <v>0</v>
      </c>
      <c r="O34" s="238"/>
      <c r="P34" s="50">
        <f t="shared" si="1"/>
        <v>0</v>
      </c>
      <c r="Q34" s="238"/>
      <c r="R34" s="50">
        <f t="shared" si="2"/>
        <v>0</v>
      </c>
      <c r="S34" s="238"/>
      <c r="T34" s="50">
        <f t="shared" si="3"/>
        <v>0</v>
      </c>
      <c r="U34" s="238"/>
      <c r="V34" s="50">
        <f t="shared" si="4"/>
        <v>0</v>
      </c>
      <c r="W34" s="238"/>
      <c r="X34" s="50">
        <f t="shared" si="5"/>
        <v>0</v>
      </c>
      <c r="Y34" s="57">
        <f t="shared" si="6"/>
        <v>0</v>
      </c>
      <c r="Z34" s="50">
        <f t="shared" si="7"/>
        <v>0</v>
      </c>
      <c r="AA34" s="49">
        <f t="shared" si="8"/>
        <v>0</v>
      </c>
    </row>
    <row r="35" spans="1:27" ht="15">
      <c r="A35" s="53">
        <v>33</v>
      </c>
      <c r="B35" s="51" t="str">
        <f>'Меню 2 кв 2023'!O49</f>
        <v>Рис (1 сорт), в инд. уп.</v>
      </c>
      <c r="C35" s="52" t="str">
        <f>'Меню 2 кв 2023'!P49</f>
        <v>кг</v>
      </c>
      <c r="D35" s="79">
        <f>'Меню 2 кв 2023'!Q49</f>
        <v>98</v>
      </c>
      <c r="E35" s="238">
        <v>25</v>
      </c>
      <c r="F35" s="50">
        <f t="shared" si="0"/>
        <v>2.45</v>
      </c>
      <c r="G35" s="238"/>
      <c r="H35" s="50">
        <f t="shared" si="9"/>
        <v>0</v>
      </c>
      <c r="I35" s="238"/>
      <c r="J35" s="50">
        <f t="shared" si="10"/>
        <v>0</v>
      </c>
      <c r="K35" s="238"/>
      <c r="L35" s="50">
        <f t="shared" si="11"/>
        <v>0</v>
      </c>
      <c r="M35" s="244"/>
      <c r="N35" s="50">
        <f t="shared" si="12"/>
        <v>0</v>
      </c>
      <c r="O35" s="238"/>
      <c r="P35" s="50">
        <f t="shared" si="1"/>
        <v>0</v>
      </c>
      <c r="Q35" s="238">
        <v>54</v>
      </c>
      <c r="R35" s="50">
        <f t="shared" si="2"/>
        <v>5.29</v>
      </c>
      <c r="S35" s="238"/>
      <c r="T35" s="50">
        <f t="shared" si="3"/>
        <v>0</v>
      </c>
      <c r="U35" s="238"/>
      <c r="V35" s="50">
        <f t="shared" si="4"/>
        <v>0</v>
      </c>
      <c r="W35" s="238"/>
      <c r="X35" s="50">
        <f t="shared" si="5"/>
        <v>0</v>
      </c>
      <c r="Y35" s="57">
        <f t="shared" si="6"/>
        <v>79</v>
      </c>
      <c r="Z35" s="50">
        <f t="shared" si="7"/>
        <v>7.74</v>
      </c>
      <c r="AA35" s="49">
        <f t="shared" si="8"/>
        <v>316</v>
      </c>
    </row>
    <row r="36" spans="1:27" ht="30">
      <c r="A36" s="53">
        <v>34</v>
      </c>
      <c r="B36" s="51" t="str">
        <f>'Меню 2 кв 2023'!O50</f>
        <v>Крупа пшеничная (1 сорт), в инд. уп.</v>
      </c>
      <c r="C36" s="52" t="str">
        <f>'Меню 2 кв 2023'!P50</f>
        <v>кг</v>
      </c>
      <c r="D36" s="79">
        <f>'Меню 2 кв 2023'!Q50</f>
        <v>61</v>
      </c>
      <c r="E36" s="238"/>
      <c r="F36" s="50">
        <f t="shared" si="0"/>
        <v>0</v>
      </c>
      <c r="G36" s="238"/>
      <c r="H36" s="50">
        <f t="shared" si="9"/>
        <v>0</v>
      </c>
      <c r="I36" s="238"/>
      <c r="J36" s="50">
        <f t="shared" si="10"/>
        <v>0</v>
      </c>
      <c r="K36" s="238"/>
      <c r="L36" s="50">
        <f t="shared" si="11"/>
        <v>0</v>
      </c>
      <c r="M36" s="244"/>
      <c r="N36" s="50">
        <f t="shared" si="12"/>
        <v>0</v>
      </c>
      <c r="O36" s="238"/>
      <c r="P36" s="50">
        <f t="shared" si="1"/>
        <v>0</v>
      </c>
      <c r="Q36" s="238"/>
      <c r="R36" s="50">
        <f t="shared" si="2"/>
        <v>0</v>
      </c>
      <c r="S36" s="238"/>
      <c r="T36" s="50">
        <f t="shared" si="3"/>
        <v>0</v>
      </c>
      <c r="U36" s="238"/>
      <c r="V36" s="50">
        <f t="shared" si="4"/>
        <v>0</v>
      </c>
      <c r="W36" s="238">
        <v>35</v>
      </c>
      <c r="X36" s="50">
        <f t="shared" si="5"/>
        <v>2.14</v>
      </c>
      <c r="Y36" s="57">
        <f t="shared" si="6"/>
        <v>35</v>
      </c>
      <c r="Z36" s="50">
        <f aca="true" t="shared" si="13" ref="Z36:Z55">Y36*D36/1000</f>
        <v>2.14</v>
      </c>
      <c r="AA36" s="49">
        <f t="shared" si="8"/>
        <v>140</v>
      </c>
    </row>
    <row r="37" spans="1:27" ht="15">
      <c r="A37" s="53">
        <v>35</v>
      </c>
      <c r="B37" s="51" t="str">
        <f>'Меню 2 кв 2023'!O51</f>
        <v>Пшено (1 сорт), в инд. уп.</v>
      </c>
      <c r="C37" s="52" t="str">
        <f>'Меню 2 кв 2023'!P51</f>
        <v>кг</v>
      </c>
      <c r="D37" s="79">
        <f>'Меню 2 кв 2023'!Q51</f>
        <v>61</v>
      </c>
      <c r="E37" s="238"/>
      <c r="F37" s="50">
        <f t="shared" si="0"/>
        <v>0</v>
      </c>
      <c r="G37" s="238">
        <v>52</v>
      </c>
      <c r="H37" s="50">
        <f t="shared" si="9"/>
        <v>3.17</v>
      </c>
      <c r="I37" s="238"/>
      <c r="J37" s="50">
        <f t="shared" si="10"/>
        <v>0</v>
      </c>
      <c r="K37" s="238"/>
      <c r="L37" s="50">
        <f t="shared" si="11"/>
        <v>0</v>
      </c>
      <c r="M37" s="244"/>
      <c r="N37" s="50">
        <f t="shared" si="12"/>
        <v>0</v>
      </c>
      <c r="O37" s="238"/>
      <c r="P37" s="50">
        <f t="shared" si="1"/>
        <v>0</v>
      </c>
      <c r="Q37" s="238"/>
      <c r="R37" s="50">
        <f t="shared" si="2"/>
        <v>0</v>
      </c>
      <c r="S37" s="238"/>
      <c r="T37" s="50">
        <f t="shared" si="3"/>
        <v>0</v>
      </c>
      <c r="U37" s="238"/>
      <c r="V37" s="50">
        <f t="shared" si="4"/>
        <v>0</v>
      </c>
      <c r="W37" s="238"/>
      <c r="X37" s="50">
        <f t="shared" si="5"/>
        <v>0</v>
      </c>
      <c r="Y37" s="57">
        <f t="shared" si="6"/>
        <v>52</v>
      </c>
      <c r="Z37" s="50">
        <f t="shared" si="13"/>
        <v>3.17</v>
      </c>
      <c r="AA37" s="49">
        <f t="shared" si="8"/>
        <v>208</v>
      </c>
    </row>
    <row r="38" spans="1:27" ht="15">
      <c r="A38" s="53">
        <v>36</v>
      </c>
      <c r="B38" s="51" t="str">
        <f>'Меню 2 кв 2023'!O52</f>
        <v>Горох шлифованный, в инд. уп.</v>
      </c>
      <c r="C38" s="52" t="str">
        <f>'Меню 2 кв 2023'!P52</f>
        <v>кг</v>
      </c>
      <c r="D38" s="79">
        <f>'Меню 2 кв 2023'!Q52</f>
        <v>61</v>
      </c>
      <c r="E38" s="238"/>
      <c r="F38" s="50">
        <f t="shared" si="0"/>
        <v>0</v>
      </c>
      <c r="G38" s="238"/>
      <c r="H38" s="50">
        <f t="shared" si="9"/>
        <v>0</v>
      </c>
      <c r="I38" s="238"/>
      <c r="J38" s="50">
        <f t="shared" si="10"/>
        <v>0</v>
      </c>
      <c r="K38" s="238"/>
      <c r="L38" s="50">
        <f t="shared" si="11"/>
        <v>0</v>
      </c>
      <c r="M38" s="244"/>
      <c r="N38" s="50">
        <f t="shared" si="12"/>
        <v>0</v>
      </c>
      <c r="O38" s="238"/>
      <c r="P38" s="50">
        <f t="shared" si="1"/>
        <v>0</v>
      </c>
      <c r="Q38" s="238"/>
      <c r="R38" s="50">
        <f t="shared" si="2"/>
        <v>0</v>
      </c>
      <c r="S38" s="238"/>
      <c r="T38" s="50">
        <f t="shared" si="3"/>
        <v>0</v>
      </c>
      <c r="U38" s="238"/>
      <c r="V38" s="50">
        <f t="shared" si="4"/>
        <v>0</v>
      </c>
      <c r="W38" s="238"/>
      <c r="X38" s="50">
        <f t="shared" si="5"/>
        <v>0</v>
      </c>
      <c r="Y38" s="57">
        <f t="shared" si="6"/>
        <v>0</v>
      </c>
      <c r="Z38" s="50">
        <f t="shared" si="13"/>
        <v>0</v>
      </c>
      <c r="AA38" s="49">
        <f t="shared" si="8"/>
        <v>0</v>
      </c>
    </row>
    <row r="39" spans="1:27" ht="15">
      <c r="A39" s="53">
        <v>37</v>
      </c>
      <c r="B39" s="51" t="str">
        <f>'Меню 2 кв 2023'!O53</f>
        <v>Крупа перловая, в инд. уп.</v>
      </c>
      <c r="C39" s="52" t="str">
        <f>'Меню 2 кв 2023'!P53</f>
        <v>кг</v>
      </c>
      <c r="D39" s="79">
        <f>'Меню 2 кв 2023'!Q53</f>
        <v>51</v>
      </c>
      <c r="E39" s="238"/>
      <c r="F39" s="50">
        <f t="shared" si="0"/>
        <v>0</v>
      </c>
      <c r="G39" s="238"/>
      <c r="H39" s="50">
        <f t="shared" si="9"/>
        <v>0</v>
      </c>
      <c r="I39" s="238"/>
      <c r="J39" s="50">
        <f t="shared" si="10"/>
        <v>0</v>
      </c>
      <c r="K39" s="238"/>
      <c r="L39" s="50">
        <f t="shared" si="11"/>
        <v>0</v>
      </c>
      <c r="M39" s="244"/>
      <c r="N39" s="50">
        <f t="shared" si="12"/>
        <v>0</v>
      </c>
      <c r="O39" s="238"/>
      <c r="P39" s="50">
        <f t="shared" si="1"/>
        <v>0</v>
      </c>
      <c r="Q39" s="238"/>
      <c r="R39" s="50">
        <f t="shared" si="2"/>
        <v>0</v>
      </c>
      <c r="S39" s="238"/>
      <c r="T39" s="50">
        <f t="shared" si="3"/>
        <v>0</v>
      </c>
      <c r="U39" s="238"/>
      <c r="V39" s="50">
        <f t="shared" si="4"/>
        <v>0</v>
      </c>
      <c r="W39" s="238"/>
      <c r="X39" s="50">
        <f t="shared" si="5"/>
        <v>0</v>
      </c>
      <c r="Y39" s="57">
        <f t="shared" si="6"/>
        <v>0</v>
      </c>
      <c r="Z39" s="50">
        <f t="shared" si="13"/>
        <v>0</v>
      </c>
      <c r="AA39" s="49">
        <f t="shared" si="8"/>
        <v>0</v>
      </c>
    </row>
    <row r="40" spans="1:27" ht="15">
      <c r="A40" s="53">
        <v>38</v>
      </c>
      <c r="B40" s="51" t="str">
        <f>'Меню 2 кв 2023'!O54</f>
        <v>Крупа ячневая, в инд. уп.</v>
      </c>
      <c r="C40" s="52" t="str">
        <f>'Меню 2 кв 2023'!P54</f>
        <v>кг</v>
      </c>
      <c r="D40" s="79">
        <f>'Меню 2 кв 2023'!Q54</f>
        <v>51</v>
      </c>
      <c r="E40" s="238"/>
      <c r="F40" s="50">
        <f t="shared" si="0"/>
        <v>0</v>
      </c>
      <c r="G40" s="238"/>
      <c r="H40" s="50">
        <f t="shared" si="9"/>
        <v>0</v>
      </c>
      <c r="I40" s="238"/>
      <c r="J40" s="50">
        <f t="shared" si="10"/>
        <v>0</v>
      </c>
      <c r="K40" s="238"/>
      <c r="L40" s="50">
        <f t="shared" si="11"/>
        <v>0</v>
      </c>
      <c r="M40" s="244"/>
      <c r="N40" s="50">
        <f t="shared" si="12"/>
        <v>0</v>
      </c>
      <c r="O40" s="238"/>
      <c r="P40" s="50">
        <f t="shared" si="1"/>
        <v>0</v>
      </c>
      <c r="Q40" s="238"/>
      <c r="R40" s="50">
        <f t="shared" si="2"/>
        <v>0</v>
      </c>
      <c r="S40" s="238"/>
      <c r="T40" s="50">
        <f t="shared" si="3"/>
        <v>0</v>
      </c>
      <c r="U40" s="238"/>
      <c r="V40" s="50">
        <f t="shared" si="4"/>
        <v>0</v>
      </c>
      <c r="W40" s="238"/>
      <c r="X40" s="50">
        <f t="shared" si="5"/>
        <v>0</v>
      </c>
      <c r="Y40" s="57">
        <f t="shared" si="6"/>
        <v>0</v>
      </c>
      <c r="Z40" s="50">
        <f t="shared" si="13"/>
        <v>0</v>
      </c>
      <c r="AA40" s="49">
        <f t="shared" si="8"/>
        <v>0</v>
      </c>
    </row>
    <row r="41" spans="1:27" ht="15">
      <c r="A41" s="53">
        <v>39</v>
      </c>
      <c r="B41" s="51" t="str">
        <f>'Меню 2 кв 2023'!O55</f>
        <v>Хлопья "Геркулес", в инд. уп.</v>
      </c>
      <c r="C41" s="52" t="str">
        <f>'Меню 2 кв 2023'!P55</f>
        <v>кг</v>
      </c>
      <c r="D41" s="79">
        <f>'Меню 2 кв 2023'!Q55</f>
        <v>79</v>
      </c>
      <c r="E41" s="238"/>
      <c r="F41" s="50">
        <f t="shared" si="0"/>
        <v>0</v>
      </c>
      <c r="G41" s="238"/>
      <c r="H41" s="50">
        <f t="shared" si="9"/>
        <v>0</v>
      </c>
      <c r="I41" s="238"/>
      <c r="J41" s="50">
        <f t="shared" si="10"/>
        <v>0</v>
      </c>
      <c r="K41" s="238"/>
      <c r="L41" s="50">
        <f t="shared" si="11"/>
        <v>0</v>
      </c>
      <c r="M41" s="244"/>
      <c r="N41" s="50">
        <f t="shared" si="12"/>
        <v>0</v>
      </c>
      <c r="O41" s="238"/>
      <c r="P41" s="50">
        <f t="shared" si="1"/>
        <v>0</v>
      </c>
      <c r="Q41" s="238"/>
      <c r="R41" s="50">
        <f t="shared" si="2"/>
        <v>0</v>
      </c>
      <c r="S41" s="238"/>
      <c r="T41" s="50">
        <f t="shared" si="3"/>
        <v>0</v>
      </c>
      <c r="U41" s="238"/>
      <c r="V41" s="50">
        <f t="shared" si="4"/>
        <v>0</v>
      </c>
      <c r="W41" s="238"/>
      <c r="X41" s="50">
        <f t="shared" si="5"/>
        <v>0</v>
      </c>
      <c r="Y41" s="57">
        <f t="shared" si="6"/>
        <v>0</v>
      </c>
      <c r="Z41" s="50">
        <f t="shared" si="13"/>
        <v>0</v>
      </c>
      <c r="AA41" s="49">
        <f t="shared" si="8"/>
        <v>0</v>
      </c>
    </row>
    <row r="42" spans="1:27" ht="15">
      <c r="A42" s="53">
        <v>40</v>
      </c>
      <c r="B42" s="51" t="str">
        <f>'Меню 2 кв 2023'!O56</f>
        <v>Сахар-песок</v>
      </c>
      <c r="C42" s="52" t="str">
        <f>'Меню 2 кв 2023'!P56</f>
        <v>кг</v>
      </c>
      <c r="D42" s="79">
        <f>'Меню 2 кв 2023'!Q56</f>
        <v>85</v>
      </c>
      <c r="E42" s="238">
        <f>4+8+11</f>
        <v>23</v>
      </c>
      <c r="F42" s="50">
        <f t="shared" si="0"/>
        <v>1.96</v>
      </c>
      <c r="G42" s="238">
        <v>13</v>
      </c>
      <c r="H42" s="50">
        <f t="shared" si="9"/>
        <v>1.11</v>
      </c>
      <c r="I42" s="238">
        <f>3+14</f>
        <v>17</v>
      </c>
      <c r="J42" s="50">
        <f t="shared" si="10"/>
        <v>1.45</v>
      </c>
      <c r="K42" s="238">
        <v>15</v>
      </c>
      <c r="L42" s="50">
        <f t="shared" si="11"/>
        <v>1.28</v>
      </c>
      <c r="M42" s="244">
        <f>4+12+14</f>
        <v>30</v>
      </c>
      <c r="N42" s="50">
        <f t="shared" si="12"/>
        <v>2.55</v>
      </c>
      <c r="O42" s="238">
        <v>12.5</v>
      </c>
      <c r="P42" s="50">
        <f t="shared" si="1"/>
        <v>1.06</v>
      </c>
      <c r="Q42" s="238">
        <v>14</v>
      </c>
      <c r="R42" s="50">
        <f t="shared" si="2"/>
        <v>1.19</v>
      </c>
      <c r="S42" s="238">
        <v>14</v>
      </c>
      <c r="T42" s="50">
        <f t="shared" si="3"/>
        <v>1.19</v>
      </c>
      <c r="U42" s="238">
        <f>15</f>
        <v>15</v>
      </c>
      <c r="V42" s="50">
        <f t="shared" si="4"/>
        <v>1.28</v>
      </c>
      <c r="W42" s="238">
        <v>13</v>
      </c>
      <c r="X42" s="50">
        <f t="shared" si="5"/>
        <v>1.11</v>
      </c>
      <c r="Y42" s="57">
        <f>(E42+G42+I42+K42+M42+O42+Q42+S42+U42+W42)</f>
        <v>166.5</v>
      </c>
      <c r="Z42" s="50">
        <f t="shared" si="13"/>
        <v>14.15</v>
      </c>
      <c r="AA42" s="49">
        <f t="shared" si="8"/>
        <v>666</v>
      </c>
    </row>
    <row r="43" spans="1:27" ht="15">
      <c r="A43" s="53">
        <v>41</v>
      </c>
      <c r="B43" s="51" t="str">
        <f>'Меню 2 кв 2023'!O57</f>
        <v>Макароны (высший сорт)</v>
      </c>
      <c r="C43" s="52" t="str">
        <f>'Меню 2 кв 2023'!P57</f>
        <v>кг</v>
      </c>
      <c r="D43" s="79">
        <f>'Меню 2 кв 2023'!Q57</f>
        <v>43</v>
      </c>
      <c r="E43" s="238"/>
      <c r="F43" s="50">
        <f t="shared" si="0"/>
        <v>0</v>
      </c>
      <c r="G43" s="238"/>
      <c r="H43" s="50">
        <f t="shared" si="9"/>
        <v>0</v>
      </c>
      <c r="I43" s="238"/>
      <c r="J43" s="50">
        <f t="shared" si="10"/>
        <v>0</v>
      </c>
      <c r="K43" s="238"/>
      <c r="L43" s="50">
        <f t="shared" si="11"/>
        <v>0</v>
      </c>
      <c r="M43" s="244"/>
      <c r="N43" s="50">
        <f t="shared" si="12"/>
        <v>0</v>
      </c>
      <c r="O43" s="238">
        <v>51</v>
      </c>
      <c r="P43" s="50">
        <f t="shared" si="1"/>
        <v>2.19</v>
      </c>
      <c r="Q43" s="238"/>
      <c r="R43" s="50">
        <f t="shared" si="2"/>
        <v>0</v>
      </c>
      <c r="S43" s="238"/>
      <c r="T43" s="50">
        <f t="shared" si="3"/>
        <v>0</v>
      </c>
      <c r="U43" s="238"/>
      <c r="V43" s="50">
        <f t="shared" si="4"/>
        <v>0</v>
      </c>
      <c r="W43" s="238"/>
      <c r="X43" s="50">
        <f t="shared" si="5"/>
        <v>0</v>
      </c>
      <c r="Y43" s="57">
        <f t="shared" si="6"/>
        <v>51</v>
      </c>
      <c r="Z43" s="50">
        <f t="shared" si="13"/>
        <v>2.19</v>
      </c>
      <c r="AA43" s="49">
        <f t="shared" si="8"/>
        <v>204</v>
      </c>
    </row>
    <row r="44" spans="1:27" ht="15">
      <c r="A44" s="53">
        <v>42</v>
      </c>
      <c r="B44" s="51" t="str">
        <f>'Меню 2 кв 2023'!O58</f>
        <v>Вермишель (высший сорт)</v>
      </c>
      <c r="C44" s="52" t="str">
        <f>'Меню 2 кв 2023'!P58</f>
        <v>кг</v>
      </c>
      <c r="D44" s="79">
        <f>'Меню 2 кв 2023'!Q58</f>
        <v>44</v>
      </c>
      <c r="E44" s="238"/>
      <c r="F44" s="50">
        <f t="shared" si="0"/>
        <v>0</v>
      </c>
      <c r="G44" s="238"/>
      <c r="H44" s="50">
        <f t="shared" si="9"/>
        <v>0</v>
      </c>
      <c r="I44" s="238"/>
      <c r="J44" s="50">
        <f t="shared" si="10"/>
        <v>0</v>
      </c>
      <c r="K44" s="238"/>
      <c r="L44" s="50">
        <f t="shared" si="11"/>
        <v>0</v>
      </c>
      <c r="M44" s="244"/>
      <c r="N44" s="50">
        <f t="shared" si="12"/>
        <v>0</v>
      </c>
      <c r="O44" s="238"/>
      <c r="P44" s="50">
        <f t="shared" si="1"/>
        <v>0</v>
      </c>
      <c r="Q44" s="238"/>
      <c r="R44" s="50">
        <f t="shared" si="2"/>
        <v>0</v>
      </c>
      <c r="S44" s="238"/>
      <c r="T44" s="50">
        <f t="shared" si="3"/>
        <v>0</v>
      </c>
      <c r="U44" s="238"/>
      <c r="V44" s="50">
        <f t="shared" si="4"/>
        <v>0</v>
      </c>
      <c r="W44" s="238"/>
      <c r="X44" s="50">
        <f t="shared" si="5"/>
        <v>0</v>
      </c>
      <c r="Y44" s="57">
        <f t="shared" si="6"/>
        <v>0</v>
      </c>
      <c r="Z44" s="50">
        <f t="shared" si="13"/>
        <v>0</v>
      </c>
      <c r="AA44" s="49">
        <f t="shared" si="8"/>
        <v>0</v>
      </c>
    </row>
    <row r="45" spans="1:27" ht="15">
      <c r="A45" s="53">
        <v>43</v>
      </c>
      <c r="B45" s="51" t="str">
        <f>'Меню 2 кв 2023'!O59</f>
        <v>Дрожжи сухие</v>
      </c>
      <c r="C45" s="52" t="str">
        <f>'Меню 2 кв 2023'!P59</f>
        <v>кг</v>
      </c>
      <c r="D45" s="79">
        <f>'Меню 2 кв 2023'!Q59</f>
        <v>377</v>
      </c>
      <c r="E45" s="238">
        <v>1</v>
      </c>
      <c r="F45" s="50">
        <f t="shared" si="0"/>
        <v>0.38</v>
      </c>
      <c r="G45" s="238"/>
      <c r="H45" s="50">
        <f t="shared" si="9"/>
        <v>0</v>
      </c>
      <c r="I45" s="238">
        <v>1</v>
      </c>
      <c r="J45" s="50">
        <f t="shared" si="10"/>
        <v>0.38</v>
      </c>
      <c r="K45" s="238"/>
      <c r="L45" s="50">
        <f t="shared" si="11"/>
        <v>0</v>
      </c>
      <c r="M45" s="244">
        <v>2.5</v>
      </c>
      <c r="N45" s="50">
        <f t="shared" si="12"/>
        <v>0.94</v>
      </c>
      <c r="O45" s="238"/>
      <c r="P45" s="50">
        <f t="shared" si="1"/>
        <v>0</v>
      </c>
      <c r="Q45" s="238"/>
      <c r="R45" s="50">
        <f t="shared" si="2"/>
        <v>0</v>
      </c>
      <c r="S45" s="238"/>
      <c r="T45" s="50">
        <f t="shared" si="3"/>
        <v>0</v>
      </c>
      <c r="U45" s="238"/>
      <c r="V45" s="50">
        <f t="shared" si="4"/>
        <v>0</v>
      </c>
      <c r="W45" s="238"/>
      <c r="X45" s="50">
        <f t="shared" si="5"/>
        <v>0</v>
      </c>
      <c r="Y45" s="57">
        <f t="shared" si="6"/>
        <v>4.5</v>
      </c>
      <c r="Z45" s="50">
        <f t="shared" si="13"/>
        <v>1.7</v>
      </c>
      <c r="AA45" s="49">
        <f t="shared" si="8"/>
        <v>18</v>
      </c>
    </row>
    <row r="46" spans="1:27" ht="15">
      <c r="A46" s="53">
        <v>44</v>
      </c>
      <c r="B46" s="51" t="str">
        <f>'Меню 2 кв 2023'!O60</f>
        <v>Соль йодированная</v>
      </c>
      <c r="C46" s="52" t="str">
        <f>'Меню 2 кв 2023'!P60</f>
        <v>кг</v>
      </c>
      <c r="D46" s="79">
        <f>'Меню 2 кв 2023'!Q60</f>
        <v>24</v>
      </c>
      <c r="E46" s="238">
        <v>2</v>
      </c>
      <c r="F46" s="50">
        <f t="shared" si="0"/>
        <v>0.05</v>
      </c>
      <c r="G46" s="238">
        <v>2.5</v>
      </c>
      <c r="H46" s="50">
        <f t="shared" si="9"/>
        <v>0.06</v>
      </c>
      <c r="I46" s="238">
        <v>2</v>
      </c>
      <c r="J46" s="50">
        <f t="shared" si="10"/>
        <v>0.05</v>
      </c>
      <c r="K46" s="238">
        <v>3.5</v>
      </c>
      <c r="L46" s="50">
        <f t="shared" si="11"/>
        <v>0.08</v>
      </c>
      <c r="M46" s="244">
        <v>3</v>
      </c>
      <c r="N46" s="50">
        <f t="shared" si="12"/>
        <v>0.07</v>
      </c>
      <c r="O46" s="238">
        <v>3</v>
      </c>
      <c r="P46" s="50">
        <f t="shared" si="1"/>
        <v>0.07</v>
      </c>
      <c r="Q46" s="238">
        <v>2</v>
      </c>
      <c r="R46" s="50">
        <f t="shared" si="2"/>
        <v>0.05</v>
      </c>
      <c r="S46" s="238">
        <v>2.5</v>
      </c>
      <c r="T46" s="50">
        <f t="shared" si="3"/>
        <v>0.06</v>
      </c>
      <c r="U46" s="238">
        <v>0.5</v>
      </c>
      <c r="V46" s="50">
        <f t="shared" si="4"/>
        <v>0.01</v>
      </c>
      <c r="W46" s="238">
        <v>4</v>
      </c>
      <c r="X46" s="50">
        <f t="shared" si="5"/>
        <v>0.1</v>
      </c>
      <c r="Y46" s="57">
        <f t="shared" si="6"/>
        <v>25</v>
      </c>
      <c r="Z46" s="50">
        <f t="shared" si="13"/>
        <v>0.6</v>
      </c>
      <c r="AA46" s="49">
        <f t="shared" si="8"/>
        <v>100</v>
      </c>
    </row>
    <row r="47" spans="1:27" ht="13.5" customHeight="1">
      <c r="A47" s="53">
        <v>45</v>
      </c>
      <c r="B47" s="51" t="str">
        <f>'Меню 2 кв 2023'!O61</f>
        <v>Кисель фруктовый (концентрат)</v>
      </c>
      <c r="C47" s="52" t="str">
        <f>'Меню 2 кв 2023'!P61</f>
        <v>кг</v>
      </c>
      <c r="D47" s="79">
        <f>'Меню 2 кв 2023'!Q61</f>
        <v>213</v>
      </c>
      <c r="E47" s="238"/>
      <c r="F47" s="50">
        <f t="shared" si="0"/>
        <v>0</v>
      </c>
      <c r="G47" s="238"/>
      <c r="H47" s="50">
        <f t="shared" si="9"/>
        <v>0</v>
      </c>
      <c r="I47" s="238"/>
      <c r="J47" s="50">
        <f t="shared" si="10"/>
        <v>0</v>
      </c>
      <c r="K47" s="238"/>
      <c r="L47" s="50">
        <f t="shared" si="11"/>
        <v>0</v>
      </c>
      <c r="M47" s="244"/>
      <c r="N47" s="50">
        <f t="shared" si="12"/>
        <v>0</v>
      </c>
      <c r="O47" s="238"/>
      <c r="P47" s="50">
        <f t="shared" si="1"/>
        <v>0</v>
      </c>
      <c r="Q47" s="238"/>
      <c r="R47" s="50">
        <f t="shared" si="2"/>
        <v>0</v>
      </c>
      <c r="S47" s="238"/>
      <c r="T47" s="50">
        <f t="shared" si="3"/>
        <v>0</v>
      </c>
      <c r="U47" s="238"/>
      <c r="V47" s="50">
        <f t="shared" si="4"/>
        <v>0</v>
      </c>
      <c r="W47" s="238"/>
      <c r="X47" s="50">
        <f t="shared" si="5"/>
        <v>0</v>
      </c>
      <c r="Y47" s="57">
        <f t="shared" si="6"/>
        <v>0</v>
      </c>
      <c r="Z47" s="50">
        <f t="shared" si="13"/>
        <v>0</v>
      </c>
      <c r="AA47" s="49">
        <f t="shared" si="8"/>
        <v>0</v>
      </c>
    </row>
    <row r="48" spans="1:27" ht="15">
      <c r="A48" s="53">
        <v>46</v>
      </c>
      <c r="B48" s="51" t="str">
        <f>'Меню 2 кв 2023'!O62</f>
        <v>Кофейный напиток (ячменный)</v>
      </c>
      <c r="C48" s="52" t="str">
        <f>'Меню 2 кв 2023'!P62</f>
        <v>кг</v>
      </c>
      <c r="D48" s="79">
        <f>'Меню 2 кв 2023'!Q62</f>
        <v>480</v>
      </c>
      <c r="E48" s="238">
        <v>2</v>
      </c>
      <c r="F48" s="50">
        <f t="shared" si="0"/>
        <v>0.96</v>
      </c>
      <c r="G48" s="238"/>
      <c r="H48" s="50">
        <f t="shared" si="9"/>
        <v>0</v>
      </c>
      <c r="I48" s="238">
        <v>3</v>
      </c>
      <c r="J48" s="50">
        <f t="shared" si="10"/>
        <v>1.44</v>
      </c>
      <c r="K48" s="238"/>
      <c r="L48" s="50">
        <f t="shared" si="11"/>
        <v>0</v>
      </c>
      <c r="M48" s="244"/>
      <c r="N48" s="50">
        <f t="shared" si="12"/>
        <v>0</v>
      </c>
      <c r="O48" s="238"/>
      <c r="P48" s="50">
        <f t="shared" si="1"/>
        <v>0</v>
      </c>
      <c r="Q48" s="238"/>
      <c r="R48" s="50">
        <f t="shared" si="2"/>
        <v>0</v>
      </c>
      <c r="S48" s="238"/>
      <c r="T48" s="50">
        <f t="shared" si="3"/>
        <v>0</v>
      </c>
      <c r="U48" s="238"/>
      <c r="V48" s="50">
        <f t="shared" si="4"/>
        <v>0</v>
      </c>
      <c r="W48" s="238"/>
      <c r="X48" s="50">
        <f t="shared" si="5"/>
        <v>0</v>
      </c>
      <c r="Y48" s="57">
        <f t="shared" si="6"/>
        <v>5</v>
      </c>
      <c r="Z48" s="50">
        <f t="shared" si="13"/>
        <v>2.4</v>
      </c>
      <c r="AA48" s="49">
        <f t="shared" si="8"/>
        <v>20</v>
      </c>
    </row>
    <row r="49" spans="1:27" ht="15">
      <c r="A49" s="53">
        <v>47</v>
      </c>
      <c r="B49" s="51" t="str">
        <f>'Меню 2 кв 2023'!O63</f>
        <v>Какао порошок</v>
      </c>
      <c r="C49" s="52" t="str">
        <f>'Меню 2 кв 2023'!P63</f>
        <v>кг</v>
      </c>
      <c r="D49" s="79">
        <f>'Меню 2 кв 2023'!Q63</f>
        <v>400</v>
      </c>
      <c r="E49" s="238"/>
      <c r="F49" s="50">
        <f t="shared" si="0"/>
        <v>0</v>
      </c>
      <c r="G49" s="238"/>
      <c r="H49" s="50">
        <f t="shared" si="9"/>
        <v>0</v>
      </c>
      <c r="I49" s="238"/>
      <c r="J49" s="50">
        <f t="shared" si="10"/>
        <v>0</v>
      </c>
      <c r="K49" s="238"/>
      <c r="L49" s="50">
        <f t="shared" si="11"/>
        <v>0</v>
      </c>
      <c r="M49" s="244">
        <v>3</v>
      </c>
      <c r="N49" s="50">
        <f t="shared" si="12"/>
        <v>1.2</v>
      </c>
      <c r="O49" s="238"/>
      <c r="P49" s="50">
        <f t="shared" si="1"/>
        <v>0</v>
      </c>
      <c r="Q49" s="238">
        <v>3</v>
      </c>
      <c r="R49" s="50">
        <f t="shared" si="2"/>
        <v>1.2</v>
      </c>
      <c r="S49" s="238"/>
      <c r="T49" s="50">
        <f t="shared" si="3"/>
        <v>0</v>
      </c>
      <c r="U49" s="238"/>
      <c r="V49" s="50">
        <f t="shared" si="4"/>
        <v>0</v>
      </c>
      <c r="W49" s="238"/>
      <c r="X49" s="50">
        <f t="shared" si="5"/>
        <v>0</v>
      </c>
      <c r="Y49" s="57">
        <f t="shared" si="6"/>
        <v>6</v>
      </c>
      <c r="Z49" s="50">
        <f t="shared" si="13"/>
        <v>2.4</v>
      </c>
      <c r="AA49" s="49">
        <f t="shared" si="8"/>
        <v>24</v>
      </c>
    </row>
    <row r="50" spans="1:27" ht="15">
      <c r="A50" s="53">
        <v>48</v>
      </c>
      <c r="B50" s="51" t="str">
        <f>'Меню 2 кв 2023'!O64</f>
        <v>Чай черный (1 сорт)</v>
      </c>
      <c r="C50" s="52" t="str">
        <f>'Меню 2 кв 2023'!P64</f>
        <v>кг</v>
      </c>
      <c r="D50" s="79">
        <f>'Меню 2 кв 2023'!Q64</f>
        <v>507</v>
      </c>
      <c r="E50" s="238"/>
      <c r="F50" s="50">
        <f t="shared" si="0"/>
        <v>0</v>
      </c>
      <c r="G50" s="238">
        <v>1</v>
      </c>
      <c r="H50" s="50">
        <f t="shared" si="9"/>
        <v>0.51</v>
      </c>
      <c r="I50" s="238"/>
      <c r="J50" s="50">
        <f t="shared" si="10"/>
        <v>0</v>
      </c>
      <c r="K50" s="238">
        <v>1</v>
      </c>
      <c r="L50" s="50">
        <f t="shared" si="11"/>
        <v>0.51</v>
      </c>
      <c r="M50" s="244"/>
      <c r="N50" s="50">
        <f t="shared" si="12"/>
        <v>0</v>
      </c>
      <c r="O50" s="238">
        <v>1</v>
      </c>
      <c r="P50" s="50">
        <f t="shared" si="1"/>
        <v>0.51</v>
      </c>
      <c r="Q50" s="238"/>
      <c r="R50" s="50">
        <f t="shared" si="2"/>
        <v>0</v>
      </c>
      <c r="S50" s="238">
        <v>1</v>
      </c>
      <c r="T50" s="50">
        <f t="shared" si="3"/>
        <v>0.51</v>
      </c>
      <c r="U50" s="238"/>
      <c r="V50" s="50">
        <f t="shared" si="4"/>
        <v>0</v>
      </c>
      <c r="W50" s="238">
        <v>1</v>
      </c>
      <c r="X50" s="50">
        <f t="shared" si="5"/>
        <v>0.51</v>
      </c>
      <c r="Y50" s="57">
        <f t="shared" si="6"/>
        <v>5</v>
      </c>
      <c r="Z50" s="50">
        <f t="shared" si="13"/>
        <v>2.54</v>
      </c>
      <c r="AA50" s="49">
        <f t="shared" si="8"/>
        <v>20</v>
      </c>
    </row>
    <row r="51" spans="1:27" ht="15">
      <c r="A51" s="53">
        <v>49</v>
      </c>
      <c r="B51" s="51" t="str">
        <f>'Меню 2 кв 2023'!O65</f>
        <v>Лавровый лист</v>
      </c>
      <c r="C51" s="52" t="str">
        <f>'Меню 2 кв 2023'!P65</f>
        <v>кг</v>
      </c>
      <c r="D51" s="79">
        <f>'Меню 2 кв 2023'!Q65</f>
        <v>483</v>
      </c>
      <c r="E51" s="238"/>
      <c r="F51" s="50">
        <f t="shared" si="0"/>
        <v>0</v>
      </c>
      <c r="G51" s="238"/>
      <c r="H51" s="50">
        <f t="shared" si="9"/>
        <v>0</v>
      </c>
      <c r="I51" s="238"/>
      <c r="J51" s="50">
        <f t="shared" si="10"/>
        <v>0</v>
      </c>
      <c r="K51" s="238"/>
      <c r="L51" s="50">
        <f t="shared" si="11"/>
        <v>0</v>
      </c>
      <c r="M51" s="244"/>
      <c r="N51" s="50">
        <f t="shared" si="12"/>
        <v>0</v>
      </c>
      <c r="O51" s="238"/>
      <c r="P51" s="50">
        <f t="shared" si="1"/>
        <v>0</v>
      </c>
      <c r="Q51" s="238"/>
      <c r="R51" s="50">
        <f t="shared" si="2"/>
        <v>0</v>
      </c>
      <c r="S51" s="238"/>
      <c r="T51" s="50">
        <f t="shared" si="3"/>
        <v>0</v>
      </c>
      <c r="U51" s="238"/>
      <c r="V51" s="50">
        <f t="shared" si="4"/>
        <v>0</v>
      </c>
      <c r="W51" s="238"/>
      <c r="X51" s="50">
        <f t="shared" si="5"/>
        <v>0</v>
      </c>
      <c r="Y51" s="57">
        <f t="shared" si="6"/>
        <v>0</v>
      </c>
      <c r="Z51" s="50">
        <f t="shared" si="13"/>
        <v>0</v>
      </c>
      <c r="AA51" s="49">
        <f t="shared" si="8"/>
        <v>0</v>
      </c>
    </row>
    <row r="52" spans="1:27" ht="15">
      <c r="A52" s="53">
        <v>50</v>
      </c>
      <c r="B52" s="51" t="str">
        <f>'Меню 2 кв 2023'!O66</f>
        <v>Хлеб "Городской новый"</v>
      </c>
      <c r="C52" s="52" t="str">
        <f>'Меню 2 кв 2023'!P66</f>
        <v>кг</v>
      </c>
      <c r="D52" s="79">
        <f>'Меню 2 кв 2023'!Q66</f>
        <v>48</v>
      </c>
      <c r="E52" s="238"/>
      <c r="F52" s="50">
        <f t="shared" si="0"/>
        <v>0</v>
      </c>
      <c r="G52" s="238">
        <v>50</v>
      </c>
      <c r="H52" s="50">
        <f t="shared" si="9"/>
        <v>2.4</v>
      </c>
      <c r="I52" s="238"/>
      <c r="J52" s="50">
        <f t="shared" si="10"/>
        <v>0</v>
      </c>
      <c r="K52" s="238">
        <f>9+50</f>
        <v>59</v>
      </c>
      <c r="L52" s="50">
        <f t="shared" si="11"/>
        <v>2.83</v>
      </c>
      <c r="M52" s="244"/>
      <c r="N52" s="50">
        <f t="shared" si="12"/>
        <v>0</v>
      </c>
      <c r="O52" s="238">
        <f>13+12+50</f>
        <v>75</v>
      </c>
      <c r="P52" s="50">
        <f t="shared" si="1"/>
        <v>3.6</v>
      </c>
      <c r="Q52" s="238">
        <v>50</v>
      </c>
      <c r="R52" s="50">
        <f t="shared" si="2"/>
        <v>2.4</v>
      </c>
      <c r="S52" s="238">
        <f>13+50</f>
        <v>63</v>
      </c>
      <c r="T52" s="50">
        <f t="shared" si="3"/>
        <v>3.02</v>
      </c>
      <c r="U52" s="238">
        <f>12+50</f>
        <v>62</v>
      </c>
      <c r="V52" s="50">
        <f t="shared" si="4"/>
        <v>2.98</v>
      </c>
      <c r="W52" s="238">
        <v>50</v>
      </c>
      <c r="X52" s="50">
        <f t="shared" si="5"/>
        <v>2.4</v>
      </c>
      <c r="Y52" s="57">
        <f t="shared" si="6"/>
        <v>409</v>
      </c>
      <c r="Z52" s="50">
        <f t="shared" si="13"/>
        <v>19.63</v>
      </c>
      <c r="AA52" s="49">
        <f t="shared" si="8"/>
        <v>1636</v>
      </c>
    </row>
    <row r="53" spans="1:27" ht="15">
      <c r="A53" s="53">
        <v>51</v>
      </c>
      <c r="B53" s="51" t="str">
        <f>'Меню 2 кв 2023'!O67</f>
        <v>Пряник 1 сорт</v>
      </c>
      <c r="C53" s="52" t="str">
        <f>'Меню 2 кв 2023'!P67</f>
        <v>кг</v>
      </c>
      <c r="D53" s="79">
        <f>'Меню 2 кв 2023'!Q67</f>
        <v>157</v>
      </c>
      <c r="E53" s="238"/>
      <c r="F53" s="50">
        <f t="shared" si="0"/>
        <v>0</v>
      </c>
      <c r="G53" s="238">
        <v>40</v>
      </c>
      <c r="H53" s="50">
        <f t="shared" si="9"/>
        <v>6.28</v>
      </c>
      <c r="I53" s="238"/>
      <c r="J53" s="50">
        <f t="shared" si="10"/>
        <v>0</v>
      </c>
      <c r="K53" s="238"/>
      <c r="L53" s="50">
        <f t="shared" si="11"/>
        <v>0</v>
      </c>
      <c r="M53" s="244"/>
      <c r="N53" s="50">
        <f t="shared" si="12"/>
        <v>0</v>
      </c>
      <c r="O53" s="238"/>
      <c r="P53" s="50">
        <f t="shared" si="1"/>
        <v>0</v>
      </c>
      <c r="Q53" s="238"/>
      <c r="R53" s="50">
        <f t="shared" si="2"/>
        <v>0</v>
      </c>
      <c r="S53" s="238"/>
      <c r="T53" s="50">
        <f t="shared" si="3"/>
        <v>0</v>
      </c>
      <c r="U53" s="238"/>
      <c r="V53" s="50">
        <f t="shared" si="4"/>
        <v>0</v>
      </c>
      <c r="W53" s="238">
        <v>40</v>
      </c>
      <c r="X53" s="50">
        <f t="shared" si="5"/>
        <v>6.28</v>
      </c>
      <c r="Y53" s="57">
        <f t="shared" si="6"/>
        <v>80</v>
      </c>
      <c r="Z53" s="50">
        <f t="shared" si="13"/>
        <v>12.56</v>
      </c>
      <c r="AA53" s="49">
        <f t="shared" si="8"/>
        <v>320</v>
      </c>
    </row>
    <row r="54" spans="1:27" ht="15">
      <c r="A54" s="53">
        <v>52</v>
      </c>
      <c r="B54" s="51" t="str">
        <f>'Меню 2 кв 2023'!O74</f>
        <v>Печенье в ассортименте</v>
      </c>
      <c r="C54" s="52" t="str">
        <f>'Меню 2 кв 2023'!P74</f>
        <v>кг</v>
      </c>
      <c r="D54" s="79">
        <f>'Меню 2 кв 2023'!Q74</f>
        <v>153</v>
      </c>
      <c r="E54" s="238"/>
      <c r="F54" s="50">
        <f t="shared" si="0"/>
        <v>0</v>
      </c>
      <c r="G54" s="238"/>
      <c r="H54" s="50">
        <f t="shared" si="9"/>
        <v>0</v>
      </c>
      <c r="I54" s="238"/>
      <c r="J54" s="50">
        <f t="shared" si="10"/>
        <v>0</v>
      </c>
      <c r="K54" s="238">
        <v>25</v>
      </c>
      <c r="L54" s="50">
        <f t="shared" si="11"/>
        <v>3.83</v>
      </c>
      <c r="M54" s="244"/>
      <c r="N54" s="50">
        <f t="shared" si="12"/>
        <v>0</v>
      </c>
      <c r="O54" s="238"/>
      <c r="P54" s="50">
        <f t="shared" si="1"/>
        <v>0</v>
      </c>
      <c r="Q54" s="238"/>
      <c r="R54" s="50">
        <f t="shared" si="2"/>
        <v>0</v>
      </c>
      <c r="S54" s="238"/>
      <c r="T54" s="50">
        <f t="shared" si="3"/>
        <v>0</v>
      </c>
      <c r="U54" s="238">
        <v>50</v>
      </c>
      <c r="V54" s="50">
        <f t="shared" si="4"/>
        <v>7.65</v>
      </c>
      <c r="W54" s="238"/>
      <c r="X54" s="50">
        <f t="shared" si="5"/>
        <v>0</v>
      </c>
      <c r="Y54" s="57">
        <f t="shared" si="6"/>
        <v>75</v>
      </c>
      <c r="Z54" s="50">
        <f t="shared" si="13"/>
        <v>11.48</v>
      </c>
      <c r="AA54" s="49">
        <f t="shared" si="8"/>
        <v>300</v>
      </c>
    </row>
    <row r="55" spans="1:26" s="68" customFormat="1" ht="15">
      <c r="A55" s="117"/>
      <c r="B55" s="118" t="s">
        <v>63</v>
      </c>
      <c r="C55" s="67"/>
      <c r="D55" s="67"/>
      <c r="E55" s="238"/>
      <c r="F55" s="112">
        <f>SUM(F3:F54)</f>
        <v>68.47</v>
      </c>
      <c r="G55" s="238"/>
      <c r="H55" s="112">
        <f>SUM(H3:H54)</f>
        <v>68.47</v>
      </c>
      <c r="I55" s="238"/>
      <c r="J55" s="112">
        <f>SUM(J3:J54)</f>
        <v>68.47</v>
      </c>
      <c r="K55" s="238"/>
      <c r="L55" s="112">
        <f>SUM(L3:L54)</f>
        <v>68.47</v>
      </c>
      <c r="M55" s="244"/>
      <c r="N55" s="112">
        <f>SUM(N3:N54)</f>
        <v>68.47</v>
      </c>
      <c r="O55" s="238"/>
      <c r="P55" s="112">
        <f>SUM(P3:P54)</f>
        <v>68.47</v>
      </c>
      <c r="Q55" s="238"/>
      <c r="R55" s="112">
        <f>SUM(R3:R54)</f>
        <v>68.47</v>
      </c>
      <c r="S55" s="238"/>
      <c r="T55" s="112">
        <f>SUM(T3:T54)</f>
        <v>68.47</v>
      </c>
      <c r="U55" s="238"/>
      <c r="V55" s="112">
        <f>SUM(V3:V54)</f>
        <v>68.47</v>
      </c>
      <c r="W55" s="238"/>
      <c r="X55" s="112">
        <f>SUM(X3:X54)</f>
        <v>68.47</v>
      </c>
      <c r="Y55" s="116">
        <f t="shared" si="6"/>
        <v>0</v>
      </c>
      <c r="Z55" s="67">
        <f t="shared" si="13"/>
        <v>0</v>
      </c>
    </row>
    <row r="56" spans="1:26" s="68" customFormat="1" ht="12.75">
      <c r="A56" s="67"/>
      <c r="B56" s="67"/>
      <c r="C56" s="67"/>
      <c r="D56" s="67"/>
      <c r="E56" s="238"/>
      <c r="F56" s="67"/>
      <c r="G56" s="238"/>
      <c r="H56" s="67"/>
      <c r="I56" s="238"/>
      <c r="J56" s="67"/>
      <c r="K56" s="238"/>
      <c r="L56" s="67"/>
      <c r="M56" s="244"/>
      <c r="N56" s="67"/>
      <c r="O56" s="238"/>
      <c r="P56" s="67"/>
      <c r="Q56" s="238"/>
      <c r="R56" s="67"/>
      <c r="S56" s="238"/>
      <c r="T56" s="67"/>
      <c r="U56" s="238"/>
      <c r="V56" s="67"/>
      <c r="W56" s="238"/>
      <c r="X56" s="67"/>
      <c r="Y56" s="67"/>
      <c r="Z56" s="67">
        <f>SUM(Z3:Z55)</f>
        <v>684.66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C7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625" style="49" bestFit="1" customWidth="1"/>
    <col min="2" max="2" width="31.25390625" style="49" customWidth="1"/>
    <col min="3" max="3" width="4.75390625" style="49" bestFit="1" customWidth="1"/>
    <col min="4" max="4" width="9.125" style="49" customWidth="1"/>
    <col min="5" max="5" width="9.125" style="237" customWidth="1"/>
    <col min="6" max="6" width="9.125" style="49" customWidth="1"/>
    <col min="7" max="7" width="9.125" style="237" customWidth="1"/>
    <col min="8" max="8" width="9.125" style="49" customWidth="1"/>
    <col min="9" max="9" width="9.125" style="237" customWidth="1"/>
    <col min="10" max="10" width="9.125" style="49" customWidth="1"/>
    <col min="11" max="11" width="9.125" style="237" customWidth="1"/>
    <col min="12" max="12" width="9.125" style="49" customWidth="1"/>
    <col min="13" max="13" width="9.125" style="243" customWidth="1"/>
    <col min="14" max="14" width="9.125" style="49" customWidth="1"/>
    <col min="15" max="15" width="9.125" style="237" customWidth="1"/>
    <col min="16" max="16" width="9.125" style="49" customWidth="1"/>
    <col min="17" max="17" width="9.125" style="237" customWidth="1"/>
    <col min="18" max="18" width="9.125" style="49" customWidth="1"/>
    <col min="19" max="19" width="9.125" style="237" customWidth="1"/>
    <col min="20" max="20" width="9.125" style="49" customWidth="1"/>
    <col min="21" max="21" width="9.125" style="237" customWidth="1"/>
    <col min="22" max="22" width="9.125" style="49" customWidth="1"/>
    <col min="23" max="23" width="9.125" style="243" customWidth="1"/>
    <col min="24" max="28" width="9.125" style="49" customWidth="1"/>
    <col min="29" max="16384" width="9.125" style="49" customWidth="1"/>
  </cols>
  <sheetData>
    <row r="1" spans="2:7" ht="15" customHeight="1">
      <c r="B1" s="134" t="s">
        <v>5</v>
      </c>
      <c r="G1" s="239"/>
    </row>
    <row r="2" spans="1:29" ht="25.5">
      <c r="A2" s="56" t="s">
        <v>3</v>
      </c>
      <c r="B2" s="56" t="s">
        <v>52</v>
      </c>
      <c r="C2" s="56" t="s">
        <v>172</v>
      </c>
      <c r="D2" s="56" t="s">
        <v>53</v>
      </c>
      <c r="E2" s="236">
        <v>1</v>
      </c>
      <c r="F2" s="56" t="s">
        <v>54</v>
      </c>
      <c r="G2" s="236">
        <v>2</v>
      </c>
      <c r="H2" s="56" t="s">
        <v>54</v>
      </c>
      <c r="I2" s="236">
        <v>3</v>
      </c>
      <c r="J2" s="56" t="s">
        <v>54</v>
      </c>
      <c r="K2" s="236">
        <v>4</v>
      </c>
      <c r="L2" s="56" t="s">
        <v>54</v>
      </c>
      <c r="M2" s="242">
        <v>5</v>
      </c>
      <c r="N2" s="56" t="s">
        <v>54</v>
      </c>
      <c r="O2" s="236">
        <v>1</v>
      </c>
      <c r="P2" s="56" t="s">
        <v>54</v>
      </c>
      <c r="Q2" s="236">
        <v>2</v>
      </c>
      <c r="R2" s="56" t="s">
        <v>54</v>
      </c>
      <c r="S2" s="236">
        <v>3</v>
      </c>
      <c r="T2" s="56" t="s">
        <v>54</v>
      </c>
      <c r="U2" s="236">
        <v>4</v>
      </c>
      <c r="V2" s="56" t="s">
        <v>54</v>
      </c>
      <c r="W2" s="242">
        <v>5</v>
      </c>
      <c r="X2" s="56" t="s">
        <v>54</v>
      </c>
      <c r="Y2" s="56" t="s">
        <v>55</v>
      </c>
      <c r="Z2" s="56" t="s">
        <v>54</v>
      </c>
      <c r="AA2" s="95"/>
      <c r="AB2" s="95"/>
      <c r="AC2" s="49" t="s">
        <v>80</v>
      </c>
    </row>
    <row r="3" spans="1:29" ht="15">
      <c r="A3" s="53">
        <v>1</v>
      </c>
      <c r="B3" s="51" t="str">
        <f>завтрак!B3</f>
        <v>Яйцо (1 сорт)</v>
      </c>
      <c r="C3" s="52" t="str">
        <f>завтрак!C3</f>
        <v>шт</v>
      </c>
      <c r="D3" s="79">
        <f>завтрак!D3</f>
        <v>9.5</v>
      </c>
      <c r="E3" s="238"/>
      <c r="F3" s="50">
        <f>E3*D3</f>
        <v>0</v>
      </c>
      <c r="G3" s="238"/>
      <c r="H3" s="50">
        <f>G3*D3</f>
        <v>0</v>
      </c>
      <c r="I3" s="238">
        <v>0.2</v>
      </c>
      <c r="J3" s="50">
        <f>I3*D3</f>
        <v>1.9</v>
      </c>
      <c r="K3" s="238">
        <v>0.22</v>
      </c>
      <c r="L3" s="50">
        <f>K3*D3</f>
        <v>2.09</v>
      </c>
      <c r="M3" s="244"/>
      <c r="N3" s="50">
        <f>D3*M3</f>
        <v>0</v>
      </c>
      <c r="O3" s="238">
        <v>0.12</v>
      </c>
      <c r="P3" s="50">
        <f>O3*D3</f>
        <v>1.14</v>
      </c>
      <c r="Q3" s="238"/>
      <c r="R3" s="50">
        <f>Q3*D3</f>
        <v>0</v>
      </c>
      <c r="S3" s="238">
        <v>0.11</v>
      </c>
      <c r="T3" s="50">
        <f>D3*S3</f>
        <v>1.05</v>
      </c>
      <c r="U3" s="238">
        <v>0.12</v>
      </c>
      <c r="V3" s="50">
        <f>D3*U3</f>
        <v>1.14</v>
      </c>
      <c r="W3" s="244"/>
      <c r="X3" s="50">
        <f>D3*W3</f>
        <v>0</v>
      </c>
      <c r="Y3" s="57">
        <f>(E3+G3+I3+K3+M3+O3+Q3+S3+U3+W3)</f>
        <v>0.77</v>
      </c>
      <c r="Z3" s="50">
        <f>Y3*D3</f>
        <v>7.32</v>
      </c>
      <c r="AA3" s="96">
        <f>Y3*4</f>
        <v>3.08</v>
      </c>
      <c r="AB3" s="96"/>
      <c r="AC3" s="49">
        <f>(Y3+завтрак!Y3)/10</f>
        <v>0.306</v>
      </c>
    </row>
    <row r="4" spans="1:29" ht="30" customHeight="1">
      <c r="A4" s="53">
        <v>2</v>
      </c>
      <c r="B4" s="51" t="str">
        <f>завтрак!B4</f>
        <v>Мясо говядины без кости (1категории)</v>
      </c>
      <c r="C4" s="52" t="str">
        <f>завтрак!C4</f>
        <v>кг</v>
      </c>
      <c r="D4" s="79">
        <f>завтрак!D4</f>
        <v>607</v>
      </c>
      <c r="E4" s="238"/>
      <c r="F4" s="50">
        <f>D4*E4/1000</f>
        <v>0</v>
      </c>
      <c r="G4" s="238">
        <v>69</v>
      </c>
      <c r="H4" s="50">
        <f>G4*D4/1000</f>
        <v>41.88</v>
      </c>
      <c r="I4" s="238"/>
      <c r="J4" s="50">
        <f>I4*D4/1000</f>
        <v>0</v>
      </c>
      <c r="K4" s="238"/>
      <c r="L4" s="50">
        <f>K4*D4/1000</f>
        <v>0</v>
      </c>
      <c r="M4" s="244">
        <v>59</v>
      </c>
      <c r="N4" s="50">
        <f>D4*M4/1000</f>
        <v>35.81</v>
      </c>
      <c r="O4" s="238">
        <v>53</v>
      </c>
      <c r="P4" s="50">
        <f>O4*D4/1000</f>
        <v>32.17</v>
      </c>
      <c r="Q4" s="238"/>
      <c r="R4" s="50">
        <f>D4*Q4/1000</f>
        <v>0</v>
      </c>
      <c r="S4" s="238"/>
      <c r="T4" s="50">
        <f>D4*S4/1000</f>
        <v>0</v>
      </c>
      <c r="U4" s="238">
        <v>58</v>
      </c>
      <c r="V4" s="50">
        <f>D4*U4/1000</f>
        <v>35.21</v>
      </c>
      <c r="W4" s="244">
        <v>60</v>
      </c>
      <c r="X4" s="50">
        <f>D4*W4/1000</f>
        <v>36.42</v>
      </c>
      <c r="Y4" s="57">
        <f aca="true" t="shared" si="0" ref="Y4:Y55">(E4+G4+I4+K4+M4+O4+Q4+S4+U4+W4)</f>
        <v>299</v>
      </c>
      <c r="Z4" s="50">
        <f>Y4*D4/1000</f>
        <v>181.49</v>
      </c>
      <c r="AA4" s="96">
        <f aca="true" t="shared" si="1" ref="AA4:AA54">Y4*4</f>
        <v>1196</v>
      </c>
      <c r="AB4" s="96"/>
      <c r="AC4" s="49">
        <f>(Y4+завтрак!Y4)/10</f>
        <v>50.6</v>
      </c>
    </row>
    <row r="5" spans="1:29" ht="15" customHeight="1">
      <c r="A5" s="53">
        <v>3</v>
      </c>
      <c r="B5" s="51" t="str">
        <f>завтрак!B5</f>
        <v>Мясо птицы (1 категории)</v>
      </c>
      <c r="C5" s="52" t="str">
        <f>завтрак!C5</f>
        <v>кг</v>
      </c>
      <c r="D5" s="79">
        <f>завтрак!D5</f>
        <v>257</v>
      </c>
      <c r="E5" s="238">
        <v>99</v>
      </c>
      <c r="F5" s="50">
        <f aca="true" t="shared" si="2" ref="F5:F54">D5*E5/1000</f>
        <v>25.44</v>
      </c>
      <c r="G5" s="238"/>
      <c r="H5" s="50">
        <f aca="true" t="shared" si="3" ref="H5:H54">G5*D5/1000</f>
        <v>0</v>
      </c>
      <c r="I5" s="238">
        <v>101</v>
      </c>
      <c r="J5" s="50">
        <f aca="true" t="shared" si="4" ref="J5:J54">I5*D5/1000</f>
        <v>25.96</v>
      </c>
      <c r="K5" s="238"/>
      <c r="L5" s="50">
        <f aca="true" t="shared" si="5" ref="L5:L54">K5*D5/1000</f>
        <v>0</v>
      </c>
      <c r="M5" s="244"/>
      <c r="N5" s="50">
        <f aca="true" t="shared" si="6" ref="N5:N54">D5*M5/1000</f>
        <v>0</v>
      </c>
      <c r="O5" s="238"/>
      <c r="P5" s="50">
        <f aca="true" t="shared" si="7" ref="P5:P54">O5*D5/1000</f>
        <v>0</v>
      </c>
      <c r="Q5" s="238">
        <v>132</v>
      </c>
      <c r="R5" s="50">
        <f aca="true" t="shared" si="8" ref="R5:R54">D5*Q5/1000</f>
        <v>33.92</v>
      </c>
      <c r="S5" s="238"/>
      <c r="T5" s="50">
        <f aca="true" t="shared" si="9" ref="T5:T54">D5*S5/1000</f>
        <v>0</v>
      </c>
      <c r="U5" s="238"/>
      <c r="V5" s="50">
        <f aca="true" t="shared" si="10" ref="V5:V54">D5*U5/1000</f>
        <v>0</v>
      </c>
      <c r="W5" s="244"/>
      <c r="X5" s="50">
        <f aca="true" t="shared" si="11" ref="X5:X54">D5*W5/1000</f>
        <v>0</v>
      </c>
      <c r="Y5" s="57">
        <f t="shared" si="0"/>
        <v>332</v>
      </c>
      <c r="Z5" s="50">
        <f aca="true" t="shared" si="12" ref="Z5:Z55">Y5*D5/1000</f>
        <v>85.32</v>
      </c>
      <c r="AA5" s="96">
        <f t="shared" si="1"/>
        <v>1328</v>
      </c>
      <c r="AB5" s="96"/>
      <c r="AC5" s="49">
        <f>(Y5+завтрак!Y5)/10</f>
        <v>50.6</v>
      </c>
    </row>
    <row r="6" spans="1:29" ht="15" customHeight="1">
      <c r="A6" s="53">
        <v>4</v>
      </c>
      <c r="B6" s="51">
        <f>завтрак!B6</f>
        <v>0</v>
      </c>
      <c r="C6" s="52">
        <f>завтрак!C6</f>
        <v>0</v>
      </c>
      <c r="D6" s="79">
        <f>завтрак!D6</f>
        <v>0</v>
      </c>
      <c r="E6" s="238"/>
      <c r="F6" s="50">
        <f t="shared" si="2"/>
        <v>0</v>
      </c>
      <c r="G6" s="238"/>
      <c r="H6" s="50">
        <f t="shared" si="3"/>
        <v>0</v>
      </c>
      <c r="I6" s="238"/>
      <c r="J6" s="50">
        <f t="shared" si="4"/>
        <v>0</v>
      </c>
      <c r="K6" s="238"/>
      <c r="L6" s="50">
        <f t="shared" si="5"/>
        <v>0</v>
      </c>
      <c r="M6" s="244"/>
      <c r="N6" s="50">
        <f t="shared" si="6"/>
        <v>0</v>
      </c>
      <c r="O6" s="238"/>
      <c r="P6" s="50">
        <f t="shared" si="7"/>
        <v>0</v>
      </c>
      <c r="Q6" s="238"/>
      <c r="R6" s="50">
        <f t="shared" si="8"/>
        <v>0</v>
      </c>
      <c r="S6" s="238"/>
      <c r="T6" s="50">
        <f t="shared" si="9"/>
        <v>0</v>
      </c>
      <c r="U6" s="238"/>
      <c r="V6" s="50">
        <f t="shared" si="10"/>
        <v>0</v>
      </c>
      <c r="W6" s="244"/>
      <c r="X6" s="50">
        <f t="shared" si="11"/>
        <v>0</v>
      </c>
      <c r="Y6" s="57">
        <f t="shared" si="0"/>
        <v>0</v>
      </c>
      <c r="Z6" s="50">
        <f t="shared" si="12"/>
        <v>0</v>
      </c>
      <c r="AA6" s="96">
        <f t="shared" si="1"/>
        <v>0</v>
      </c>
      <c r="AB6" s="96"/>
      <c r="AC6" s="49">
        <f>(Y6+завтрак!Y6)/10</f>
        <v>0</v>
      </c>
    </row>
    <row r="7" spans="1:29" ht="15">
      <c r="A7" s="53">
        <v>5</v>
      </c>
      <c r="B7" s="51">
        <f>завтрак!B7</f>
        <v>0</v>
      </c>
      <c r="C7" s="52">
        <f>завтрак!C7</f>
        <v>0</v>
      </c>
      <c r="D7" s="79">
        <f>завтрак!D7</f>
        <v>0</v>
      </c>
      <c r="E7" s="238"/>
      <c r="F7" s="50">
        <f t="shared" si="2"/>
        <v>0</v>
      </c>
      <c r="G7" s="238"/>
      <c r="H7" s="50">
        <f t="shared" si="3"/>
        <v>0</v>
      </c>
      <c r="I7" s="238"/>
      <c r="J7" s="50">
        <f t="shared" si="4"/>
        <v>0</v>
      </c>
      <c r="K7" s="238"/>
      <c r="L7" s="50">
        <f t="shared" si="5"/>
        <v>0</v>
      </c>
      <c r="M7" s="244"/>
      <c r="N7" s="50">
        <f t="shared" si="6"/>
        <v>0</v>
      </c>
      <c r="O7" s="238"/>
      <c r="P7" s="50">
        <f t="shared" si="7"/>
        <v>0</v>
      </c>
      <c r="Q7" s="238"/>
      <c r="R7" s="50">
        <f t="shared" si="8"/>
        <v>0</v>
      </c>
      <c r="S7" s="238"/>
      <c r="T7" s="50">
        <f t="shared" si="9"/>
        <v>0</v>
      </c>
      <c r="U7" s="238"/>
      <c r="V7" s="50">
        <f t="shared" si="10"/>
        <v>0</v>
      </c>
      <c r="W7" s="244"/>
      <c r="X7" s="50">
        <f t="shared" si="11"/>
        <v>0</v>
      </c>
      <c r="Y7" s="57">
        <f t="shared" si="0"/>
        <v>0</v>
      </c>
      <c r="Z7" s="50">
        <f t="shared" si="12"/>
        <v>0</v>
      </c>
      <c r="AA7" s="96">
        <f t="shared" si="1"/>
        <v>0</v>
      </c>
      <c r="AB7" s="96"/>
      <c r="AC7" s="49">
        <f>(Y7+завтрак!Y7)/10</f>
        <v>0</v>
      </c>
    </row>
    <row r="8" spans="1:29" ht="15">
      <c r="A8" s="53">
        <v>6</v>
      </c>
      <c r="B8" s="51" t="str">
        <f>завтрак!B8</f>
        <v>Молоко пастеризованное (2,5%)</v>
      </c>
      <c r="C8" s="52" t="str">
        <f>завтрак!C8</f>
        <v>л</v>
      </c>
      <c r="D8" s="79">
        <f>завтрак!D8</f>
        <v>70</v>
      </c>
      <c r="E8" s="238"/>
      <c r="F8" s="50">
        <f t="shared" si="2"/>
        <v>0</v>
      </c>
      <c r="G8" s="238"/>
      <c r="H8" s="50">
        <f t="shared" si="3"/>
        <v>0</v>
      </c>
      <c r="I8" s="238"/>
      <c r="J8" s="50">
        <f t="shared" si="4"/>
        <v>0</v>
      </c>
      <c r="K8" s="238">
        <f>9+30</f>
        <v>39</v>
      </c>
      <c r="L8" s="50">
        <f t="shared" si="5"/>
        <v>2.73</v>
      </c>
      <c r="M8" s="244">
        <v>17</v>
      </c>
      <c r="N8" s="50">
        <f t="shared" si="6"/>
        <v>1.19</v>
      </c>
      <c r="O8" s="238"/>
      <c r="P8" s="50">
        <f t="shared" si="7"/>
        <v>0</v>
      </c>
      <c r="Q8" s="238"/>
      <c r="R8" s="50">
        <f t="shared" si="8"/>
        <v>0</v>
      </c>
      <c r="S8" s="238">
        <v>30</v>
      </c>
      <c r="T8" s="50">
        <f t="shared" si="9"/>
        <v>2.1</v>
      </c>
      <c r="U8" s="238"/>
      <c r="V8" s="50">
        <f t="shared" si="10"/>
        <v>0</v>
      </c>
      <c r="W8" s="244"/>
      <c r="X8" s="50">
        <f t="shared" si="11"/>
        <v>0</v>
      </c>
      <c r="Y8" s="57">
        <f t="shared" si="0"/>
        <v>86</v>
      </c>
      <c r="Z8" s="50">
        <f t="shared" si="12"/>
        <v>6.02</v>
      </c>
      <c r="AA8" s="96">
        <f t="shared" si="1"/>
        <v>344</v>
      </c>
      <c r="AB8" s="96"/>
      <c r="AC8" s="49">
        <f>(Y8+завтрак!Y8)/10</f>
        <v>85.1</v>
      </c>
    </row>
    <row r="9" spans="1:29" ht="15">
      <c r="A9" s="53">
        <v>7</v>
      </c>
      <c r="B9" s="51" t="str">
        <f>завтрак!B9</f>
        <v>Масло сливочное (72,5%)</v>
      </c>
      <c r="C9" s="52" t="str">
        <f>завтрак!C9</f>
        <v>кг</v>
      </c>
      <c r="D9" s="79">
        <f>завтрак!D9</f>
        <v>490</v>
      </c>
      <c r="E9" s="238"/>
      <c r="F9" s="50">
        <f t="shared" si="2"/>
        <v>0</v>
      </c>
      <c r="G9" s="238">
        <f>2+6</f>
        <v>8</v>
      </c>
      <c r="H9" s="50">
        <f t="shared" si="3"/>
        <v>3.92</v>
      </c>
      <c r="I9" s="238">
        <f>2+5</f>
        <v>7</v>
      </c>
      <c r="J9" s="50">
        <f t="shared" si="4"/>
        <v>3.43</v>
      </c>
      <c r="K9" s="238">
        <f>3+5</f>
        <v>8</v>
      </c>
      <c r="L9" s="50">
        <f t="shared" si="5"/>
        <v>3.92</v>
      </c>
      <c r="M9" s="244">
        <f>1+8</f>
        <v>9</v>
      </c>
      <c r="N9" s="50">
        <f t="shared" si="6"/>
        <v>4.41</v>
      </c>
      <c r="O9" s="238">
        <v>6</v>
      </c>
      <c r="P9" s="50">
        <f t="shared" si="7"/>
        <v>2.94</v>
      </c>
      <c r="Q9" s="238"/>
      <c r="R9" s="50">
        <f t="shared" si="8"/>
        <v>0</v>
      </c>
      <c r="S9" s="238">
        <v>5</v>
      </c>
      <c r="T9" s="50">
        <f t="shared" si="9"/>
        <v>2.45</v>
      </c>
      <c r="U9" s="238">
        <v>5</v>
      </c>
      <c r="V9" s="50">
        <f t="shared" si="10"/>
        <v>2.45</v>
      </c>
      <c r="W9" s="244">
        <v>5</v>
      </c>
      <c r="X9" s="50">
        <f t="shared" si="11"/>
        <v>2.45</v>
      </c>
      <c r="Y9" s="57">
        <f t="shared" si="0"/>
        <v>53</v>
      </c>
      <c r="Z9" s="50">
        <f t="shared" si="12"/>
        <v>25.97</v>
      </c>
      <c r="AA9" s="96">
        <f t="shared" si="1"/>
        <v>212</v>
      </c>
      <c r="AB9" s="96"/>
      <c r="AC9" s="49">
        <f>(Y9+завтрак!Y9)/10</f>
        <v>16.7</v>
      </c>
    </row>
    <row r="10" spans="1:29" ht="15">
      <c r="A10" s="53">
        <v>8</v>
      </c>
      <c r="B10" s="51" t="str">
        <f>завтрак!B10</f>
        <v>Сметана (15%)</v>
      </c>
      <c r="C10" s="52" t="str">
        <f>завтрак!C10</f>
        <v>кг</v>
      </c>
      <c r="D10" s="79">
        <f>завтрак!D10</f>
        <v>182</v>
      </c>
      <c r="E10" s="238">
        <v>10</v>
      </c>
      <c r="F10" s="50">
        <f t="shared" si="2"/>
        <v>1.82</v>
      </c>
      <c r="G10" s="238"/>
      <c r="H10" s="50">
        <f t="shared" si="3"/>
        <v>0</v>
      </c>
      <c r="I10" s="238">
        <v>11</v>
      </c>
      <c r="J10" s="50">
        <f t="shared" si="4"/>
        <v>2</v>
      </c>
      <c r="K10" s="238">
        <f>10+10</f>
        <v>20</v>
      </c>
      <c r="L10" s="50">
        <f t="shared" si="5"/>
        <v>3.64</v>
      </c>
      <c r="M10" s="244">
        <v>10</v>
      </c>
      <c r="N10" s="50">
        <f t="shared" si="6"/>
        <v>1.82</v>
      </c>
      <c r="O10" s="238">
        <f>10+13</f>
        <v>23</v>
      </c>
      <c r="P10" s="50">
        <f t="shared" si="7"/>
        <v>4.19</v>
      </c>
      <c r="Q10" s="238"/>
      <c r="R10" s="50">
        <f t="shared" si="8"/>
        <v>0</v>
      </c>
      <c r="S10" s="238">
        <v>17</v>
      </c>
      <c r="T10" s="50">
        <f t="shared" si="9"/>
        <v>3.09</v>
      </c>
      <c r="U10" s="238">
        <v>12</v>
      </c>
      <c r="V10" s="50">
        <f t="shared" si="10"/>
        <v>2.18</v>
      </c>
      <c r="W10" s="244">
        <f>10+18</f>
        <v>28</v>
      </c>
      <c r="X10" s="50">
        <f t="shared" si="11"/>
        <v>5.1</v>
      </c>
      <c r="Y10" s="57">
        <f t="shared" si="0"/>
        <v>131</v>
      </c>
      <c r="Z10" s="50">
        <f t="shared" si="12"/>
        <v>23.84</v>
      </c>
      <c r="AA10" s="96">
        <f t="shared" si="1"/>
        <v>524</v>
      </c>
      <c r="AB10" s="96"/>
      <c r="AC10" s="49">
        <f>(Y10+завтрак!Y10)/10</f>
        <v>22.3</v>
      </c>
    </row>
    <row r="11" spans="1:29" ht="15">
      <c r="A11" s="53">
        <v>9</v>
      </c>
      <c r="B11" s="51" t="str">
        <f>завтрак!B11</f>
        <v>Творог (5%)</v>
      </c>
      <c r="C11" s="52" t="str">
        <f>завтрак!C11</f>
        <v>кг</v>
      </c>
      <c r="D11" s="79">
        <f>завтрак!D11</f>
        <v>203</v>
      </c>
      <c r="E11" s="238"/>
      <c r="F11" s="50">
        <f t="shared" si="2"/>
        <v>0</v>
      </c>
      <c r="G11" s="238"/>
      <c r="H11" s="50">
        <f t="shared" si="3"/>
        <v>0</v>
      </c>
      <c r="I11" s="238"/>
      <c r="J11" s="50">
        <f t="shared" si="4"/>
        <v>0</v>
      </c>
      <c r="K11" s="238"/>
      <c r="L11" s="50">
        <f t="shared" si="5"/>
        <v>0</v>
      </c>
      <c r="M11" s="244"/>
      <c r="N11" s="50">
        <f t="shared" si="6"/>
        <v>0</v>
      </c>
      <c r="O11" s="238"/>
      <c r="P11" s="50">
        <f t="shared" si="7"/>
        <v>0</v>
      </c>
      <c r="Q11" s="238"/>
      <c r="R11" s="50">
        <f t="shared" si="8"/>
        <v>0</v>
      </c>
      <c r="S11" s="238"/>
      <c r="T11" s="50">
        <f t="shared" si="9"/>
        <v>0</v>
      </c>
      <c r="U11" s="238"/>
      <c r="V11" s="50">
        <f t="shared" si="10"/>
        <v>0</v>
      </c>
      <c r="W11" s="244"/>
      <c r="X11" s="50">
        <f t="shared" si="11"/>
        <v>0</v>
      </c>
      <c r="Y11" s="57">
        <f t="shared" si="0"/>
        <v>0</v>
      </c>
      <c r="Z11" s="50">
        <f t="shared" si="12"/>
        <v>0</v>
      </c>
      <c r="AA11" s="96">
        <f t="shared" si="1"/>
        <v>0</v>
      </c>
      <c r="AB11" s="96"/>
      <c r="AC11" s="49">
        <f>(Y11+завтрак!Y11)/10</f>
        <v>14.35</v>
      </c>
    </row>
    <row r="12" spans="1:29" ht="15">
      <c r="A12" s="53">
        <v>10</v>
      </c>
      <c r="B12" s="51" t="str">
        <f>завтрак!B12</f>
        <v>Сыр твердый (45%)</v>
      </c>
      <c r="C12" s="52" t="str">
        <f>завтрак!C12</f>
        <v>кг</v>
      </c>
      <c r="D12" s="79">
        <f>завтрак!D12</f>
        <v>528</v>
      </c>
      <c r="E12" s="238"/>
      <c r="F12" s="50">
        <f t="shared" si="2"/>
        <v>0</v>
      </c>
      <c r="G12" s="238"/>
      <c r="H12" s="50">
        <f t="shared" si="3"/>
        <v>0</v>
      </c>
      <c r="I12" s="238"/>
      <c r="J12" s="50">
        <f t="shared" si="4"/>
        <v>0</v>
      </c>
      <c r="K12" s="238"/>
      <c r="L12" s="50">
        <f t="shared" si="5"/>
        <v>0</v>
      </c>
      <c r="M12" s="244"/>
      <c r="N12" s="50">
        <f t="shared" si="6"/>
        <v>0</v>
      </c>
      <c r="O12" s="238"/>
      <c r="P12" s="50">
        <f t="shared" si="7"/>
        <v>0</v>
      </c>
      <c r="Q12" s="238"/>
      <c r="R12" s="50">
        <f t="shared" si="8"/>
        <v>0</v>
      </c>
      <c r="S12" s="238"/>
      <c r="T12" s="50">
        <f t="shared" si="9"/>
        <v>0</v>
      </c>
      <c r="U12" s="238"/>
      <c r="V12" s="50">
        <f t="shared" si="10"/>
        <v>0</v>
      </c>
      <c r="W12" s="244"/>
      <c r="X12" s="50">
        <f t="shared" si="11"/>
        <v>0</v>
      </c>
      <c r="Y12" s="57">
        <f t="shared" si="0"/>
        <v>0</v>
      </c>
      <c r="Z12" s="50">
        <f t="shared" si="12"/>
        <v>0</v>
      </c>
      <c r="AA12" s="96">
        <f t="shared" si="1"/>
        <v>0</v>
      </c>
      <c r="AB12" s="96"/>
      <c r="AC12" s="49">
        <f>(Y12+завтрак!Y12)/10</f>
        <v>7.45</v>
      </c>
    </row>
    <row r="13" spans="1:29" ht="30">
      <c r="A13" s="53">
        <v>11</v>
      </c>
      <c r="B13" s="51" t="str">
        <f>завтрак!B13</f>
        <v>Молоко сгущенное цельное с сахаром (8,5%)</v>
      </c>
      <c r="C13" s="52" t="str">
        <f>завтрак!C13</f>
        <v>кг</v>
      </c>
      <c r="D13" s="79">
        <f>завтрак!D13</f>
        <v>240</v>
      </c>
      <c r="E13" s="238"/>
      <c r="F13" s="50">
        <f t="shared" si="2"/>
        <v>0</v>
      </c>
      <c r="G13" s="238"/>
      <c r="H13" s="50">
        <f t="shared" si="3"/>
        <v>0</v>
      </c>
      <c r="I13" s="238"/>
      <c r="J13" s="50">
        <f t="shared" si="4"/>
        <v>0</v>
      </c>
      <c r="K13" s="238"/>
      <c r="L13" s="50">
        <f t="shared" si="5"/>
        <v>0</v>
      </c>
      <c r="M13" s="244"/>
      <c r="N13" s="50">
        <f t="shared" si="6"/>
        <v>0</v>
      </c>
      <c r="O13" s="238"/>
      <c r="P13" s="50">
        <f t="shared" si="7"/>
        <v>0</v>
      </c>
      <c r="Q13" s="238"/>
      <c r="R13" s="50">
        <f t="shared" si="8"/>
        <v>0</v>
      </c>
      <c r="S13" s="238"/>
      <c r="T13" s="50">
        <f t="shared" si="9"/>
        <v>0</v>
      </c>
      <c r="U13" s="238"/>
      <c r="V13" s="50">
        <f t="shared" si="10"/>
        <v>0</v>
      </c>
      <c r="W13" s="244"/>
      <c r="X13" s="50">
        <f t="shared" si="11"/>
        <v>0</v>
      </c>
      <c r="Y13" s="57">
        <f t="shared" si="0"/>
        <v>0</v>
      </c>
      <c r="Z13" s="50">
        <f t="shared" si="12"/>
        <v>0</v>
      </c>
      <c r="AA13" s="96">
        <f t="shared" si="1"/>
        <v>0</v>
      </c>
      <c r="AB13" s="96"/>
      <c r="AC13" s="49">
        <f>(Y13+завтрак!Y13)/10</f>
        <v>3</v>
      </c>
    </row>
    <row r="14" spans="1:29" ht="15">
      <c r="A14" s="53">
        <v>12</v>
      </c>
      <c r="B14" s="51" t="str">
        <f>завтрак!B14</f>
        <v>Картофель (1 сорт)</v>
      </c>
      <c r="C14" s="52" t="str">
        <f>завтрак!C14</f>
        <v>кг</v>
      </c>
      <c r="D14" s="79">
        <f>завтрак!D14</f>
        <v>57</v>
      </c>
      <c r="E14" s="238">
        <f>68+131</f>
        <v>199</v>
      </c>
      <c r="F14" s="50">
        <v>11.36</v>
      </c>
      <c r="G14" s="238">
        <v>106</v>
      </c>
      <c r="H14" s="50">
        <v>6.02</v>
      </c>
      <c r="I14" s="238">
        <v>79</v>
      </c>
      <c r="J14" s="50">
        <f t="shared" si="4"/>
        <v>4.5</v>
      </c>
      <c r="K14" s="238">
        <f>30+193</f>
        <v>223</v>
      </c>
      <c r="L14" s="50">
        <v>12.72</v>
      </c>
      <c r="M14" s="244">
        <v>77</v>
      </c>
      <c r="N14" s="50">
        <f t="shared" si="6"/>
        <v>4.39</v>
      </c>
      <c r="O14" s="238">
        <v>100</v>
      </c>
      <c r="P14" s="50">
        <f t="shared" si="7"/>
        <v>5.7</v>
      </c>
      <c r="Q14" s="238">
        <v>61</v>
      </c>
      <c r="R14" s="50">
        <f t="shared" si="8"/>
        <v>3.48</v>
      </c>
      <c r="S14" s="238">
        <f>75+214</f>
        <v>289</v>
      </c>
      <c r="T14" s="50">
        <f t="shared" si="9"/>
        <v>16.47</v>
      </c>
      <c r="U14" s="238">
        <v>104</v>
      </c>
      <c r="V14" s="50">
        <f t="shared" si="10"/>
        <v>5.93</v>
      </c>
      <c r="W14" s="244">
        <v>30</v>
      </c>
      <c r="X14" s="50">
        <f t="shared" si="11"/>
        <v>1.71</v>
      </c>
      <c r="Y14" s="57">
        <f t="shared" si="0"/>
        <v>1268</v>
      </c>
      <c r="Z14" s="50">
        <f t="shared" si="12"/>
        <v>72.28</v>
      </c>
      <c r="AA14" s="96">
        <f t="shared" si="1"/>
        <v>5072</v>
      </c>
      <c r="AB14" s="96"/>
      <c r="AC14" s="49">
        <f>(Y14+завтрак!Y14)/10</f>
        <v>167.5</v>
      </c>
    </row>
    <row r="15" spans="1:29" ht="15.75" customHeight="1">
      <c r="A15" s="53">
        <v>13</v>
      </c>
      <c r="B15" s="51" t="str">
        <f>завтрак!B15</f>
        <v>Капуста белокачанная (1 сорт)</v>
      </c>
      <c r="C15" s="52" t="str">
        <f>завтрак!C15</f>
        <v>кг</v>
      </c>
      <c r="D15" s="79">
        <f>завтрак!D15</f>
        <v>47</v>
      </c>
      <c r="E15" s="238"/>
      <c r="F15" s="50">
        <f t="shared" si="2"/>
        <v>0</v>
      </c>
      <c r="G15" s="238"/>
      <c r="H15" s="50">
        <f t="shared" si="3"/>
        <v>0</v>
      </c>
      <c r="I15" s="238"/>
      <c r="J15" s="50">
        <f t="shared" si="4"/>
        <v>0</v>
      </c>
      <c r="K15" s="238">
        <v>20</v>
      </c>
      <c r="L15" s="50">
        <f t="shared" si="5"/>
        <v>0.94</v>
      </c>
      <c r="M15" s="244"/>
      <c r="N15" s="50">
        <f t="shared" si="6"/>
        <v>0</v>
      </c>
      <c r="O15" s="238"/>
      <c r="P15" s="50">
        <f t="shared" si="7"/>
        <v>0</v>
      </c>
      <c r="Q15" s="238"/>
      <c r="R15" s="50">
        <f t="shared" si="8"/>
        <v>0</v>
      </c>
      <c r="S15" s="238"/>
      <c r="T15" s="50">
        <f t="shared" si="9"/>
        <v>0</v>
      </c>
      <c r="U15" s="238"/>
      <c r="V15" s="50">
        <f t="shared" si="10"/>
        <v>0</v>
      </c>
      <c r="W15" s="244">
        <v>23</v>
      </c>
      <c r="X15" s="50">
        <f t="shared" si="11"/>
        <v>1.08</v>
      </c>
      <c r="Y15" s="57">
        <f t="shared" si="0"/>
        <v>43</v>
      </c>
      <c r="Z15" s="50">
        <f t="shared" si="12"/>
        <v>2.02</v>
      </c>
      <c r="AA15" s="96">
        <f t="shared" si="1"/>
        <v>172</v>
      </c>
      <c r="AB15" s="96"/>
      <c r="AC15" s="49">
        <f>(Y15+завтрак!Y15)/10</f>
        <v>4.3</v>
      </c>
    </row>
    <row r="16" spans="1:29" ht="14.25" customHeight="1">
      <c r="A16" s="53">
        <v>14</v>
      </c>
      <c r="B16" s="51" t="str">
        <f>завтрак!B16</f>
        <v>Лук репчатый (1 сорт)</v>
      </c>
      <c r="C16" s="52" t="str">
        <f>завтрак!C16</f>
        <v>кг</v>
      </c>
      <c r="D16" s="79">
        <f>завтрак!D16</f>
        <v>46</v>
      </c>
      <c r="E16" s="238">
        <f>12+14+11</f>
        <v>37</v>
      </c>
      <c r="F16" s="50">
        <f t="shared" si="2"/>
        <v>1.7</v>
      </c>
      <c r="G16" s="238">
        <f>12+9</f>
        <v>21</v>
      </c>
      <c r="H16" s="50">
        <f t="shared" si="3"/>
        <v>0.97</v>
      </c>
      <c r="I16" s="238">
        <f>11+4</f>
        <v>15</v>
      </c>
      <c r="J16" s="50">
        <f t="shared" si="4"/>
        <v>0.69</v>
      </c>
      <c r="K16" s="238">
        <f>10+10</f>
        <v>20</v>
      </c>
      <c r="L16" s="50">
        <f t="shared" si="5"/>
        <v>0.92</v>
      </c>
      <c r="M16" s="244">
        <f>12+5+2</f>
        <v>19</v>
      </c>
      <c r="N16" s="50">
        <f t="shared" si="6"/>
        <v>0.87</v>
      </c>
      <c r="O16" s="238">
        <f>10+12</f>
        <v>22</v>
      </c>
      <c r="P16" s="50">
        <f t="shared" si="7"/>
        <v>1.01</v>
      </c>
      <c r="Q16" s="238">
        <f>10+15</f>
        <v>25</v>
      </c>
      <c r="R16" s="50">
        <f t="shared" si="8"/>
        <v>1.15</v>
      </c>
      <c r="S16" s="238">
        <f>12+15</f>
        <v>27</v>
      </c>
      <c r="T16" s="50">
        <v>1.25</v>
      </c>
      <c r="U16" s="238">
        <f>9+13</f>
        <v>22</v>
      </c>
      <c r="V16" s="50">
        <v>1.02</v>
      </c>
      <c r="W16" s="244">
        <f>10+21</f>
        <v>31</v>
      </c>
      <c r="X16" s="50">
        <f t="shared" si="11"/>
        <v>1.43</v>
      </c>
      <c r="Y16" s="57">
        <f t="shared" si="0"/>
        <v>239</v>
      </c>
      <c r="Z16" s="50">
        <f t="shared" si="12"/>
        <v>10.99</v>
      </c>
      <c r="AA16" s="96">
        <f t="shared" si="1"/>
        <v>956</v>
      </c>
      <c r="AB16" s="96"/>
      <c r="AC16" s="49">
        <f>(Y16+завтрак!Y16)/10</f>
        <v>34.4</v>
      </c>
    </row>
    <row r="17" spans="1:29" ht="15">
      <c r="A17" s="53">
        <v>15</v>
      </c>
      <c r="B17" s="51" t="str">
        <f>завтрак!B17</f>
        <v>Морковь (1 сорт)</v>
      </c>
      <c r="C17" s="52" t="str">
        <f>завтрак!C17</f>
        <v>кг</v>
      </c>
      <c r="D17" s="79">
        <f>завтрак!D17</f>
        <v>66</v>
      </c>
      <c r="E17" s="238">
        <f>13+26</f>
        <v>39</v>
      </c>
      <c r="F17" s="50">
        <v>2.58</v>
      </c>
      <c r="G17" s="238">
        <f>14+14</f>
        <v>28</v>
      </c>
      <c r="H17" s="50">
        <f t="shared" si="3"/>
        <v>1.85</v>
      </c>
      <c r="I17" s="238">
        <f>13</f>
        <v>13</v>
      </c>
      <c r="J17" s="50">
        <f t="shared" si="4"/>
        <v>0.86</v>
      </c>
      <c r="K17" s="238">
        <f>10+30</f>
        <v>40</v>
      </c>
      <c r="L17" s="50">
        <f t="shared" si="5"/>
        <v>2.64</v>
      </c>
      <c r="M17" s="244">
        <f>13+4</f>
        <v>17</v>
      </c>
      <c r="N17" s="50">
        <f t="shared" si="6"/>
        <v>1.12</v>
      </c>
      <c r="O17" s="238">
        <f>10</f>
        <v>10</v>
      </c>
      <c r="P17" s="50">
        <f t="shared" si="7"/>
        <v>0.66</v>
      </c>
      <c r="Q17" s="238">
        <f>10+15</f>
        <v>25</v>
      </c>
      <c r="R17" s="50">
        <f t="shared" si="8"/>
        <v>1.65</v>
      </c>
      <c r="S17" s="238">
        <f>13</f>
        <v>13</v>
      </c>
      <c r="T17" s="50">
        <f t="shared" si="9"/>
        <v>0.86</v>
      </c>
      <c r="U17" s="238">
        <f>11</f>
        <v>11</v>
      </c>
      <c r="V17" s="50">
        <f t="shared" si="10"/>
        <v>0.73</v>
      </c>
      <c r="W17" s="244">
        <f>10</f>
        <v>10</v>
      </c>
      <c r="X17" s="50">
        <f t="shared" si="11"/>
        <v>0.66</v>
      </c>
      <c r="Y17" s="57">
        <f t="shared" si="0"/>
        <v>206</v>
      </c>
      <c r="Z17" s="50">
        <f t="shared" si="12"/>
        <v>13.6</v>
      </c>
      <c r="AA17" s="96">
        <f t="shared" si="1"/>
        <v>824</v>
      </c>
      <c r="AB17" s="96"/>
      <c r="AC17" s="49">
        <f>(Y17+завтрак!Y17)/10</f>
        <v>27.3</v>
      </c>
    </row>
    <row r="18" spans="1:29" ht="15">
      <c r="A18" s="53">
        <v>16</v>
      </c>
      <c r="B18" s="51" t="str">
        <f>завтрак!B18</f>
        <v>Свекла (1 сорт)</v>
      </c>
      <c r="C18" s="52" t="str">
        <f>завтрак!C18</f>
        <v>кг</v>
      </c>
      <c r="D18" s="79">
        <f>завтрак!D18</f>
        <v>45</v>
      </c>
      <c r="E18" s="238">
        <v>82</v>
      </c>
      <c r="F18" s="50">
        <f t="shared" si="2"/>
        <v>3.69</v>
      </c>
      <c r="G18" s="238"/>
      <c r="H18" s="50">
        <f t="shared" si="3"/>
        <v>0</v>
      </c>
      <c r="I18" s="238">
        <v>46</v>
      </c>
      <c r="J18" s="50">
        <f t="shared" si="4"/>
        <v>2.07</v>
      </c>
      <c r="K18" s="238">
        <v>39</v>
      </c>
      <c r="L18" s="50">
        <f t="shared" si="5"/>
        <v>1.76</v>
      </c>
      <c r="M18" s="244"/>
      <c r="N18" s="50">
        <f t="shared" si="6"/>
        <v>0</v>
      </c>
      <c r="O18" s="238"/>
      <c r="P18" s="50">
        <f t="shared" si="7"/>
        <v>0</v>
      </c>
      <c r="Q18" s="238">
        <v>71</v>
      </c>
      <c r="R18" s="50">
        <f t="shared" si="8"/>
        <v>3.2</v>
      </c>
      <c r="S18" s="238"/>
      <c r="T18" s="50">
        <f t="shared" si="9"/>
        <v>0</v>
      </c>
      <c r="U18" s="238"/>
      <c r="V18" s="50">
        <f t="shared" si="10"/>
        <v>0</v>
      </c>
      <c r="W18" s="244">
        <v>44</v>
      </c>
      <c r="X18" s="50">
        <f t="shared" si="11"/>
        <v>1.98</v>
      </c>
      <c r="Y18" s="57">
        <f t="shared" si="0"/>
        <v>282</v>
      </c>
      <c r="Z18" s="50">
        <f t="shared" si="12"/>
        <v>12.69</v>
      </c>
      <c r="AA18" s="96">
        <f t="shared" si="1"/>
        <v>1128</v>
      </c>
      <c r="AB18" s="96"/>
      <c r="AC18" s="49">
        <f>(Y18+завтрак!Y18)/10</f>
        <v>35.4</v>
      </c>
    </row>
    <row r="19" spans="1:29" ht="30">
      <c r="A19" s="53">
        <v>17</v>
      </c>
      <c r="B19" s="51" t="str">
        <f>завтрак!B19</f>
        <v>Огурцы консервированные без уксуса (1с)</v>
      </c>
      <c r="C19" s="52" t="str">
        <f>завтрак!C19</f>
        <v>кг</v>
      </c>
      <c r="D19" s="79">
        <f>завтрак!D19</f>
        <v>70</v>
      </c>
      <c r="E19" s="238">
        <v>55</v>
      </c>
      <c r="F19" s="50">
        <f t="shared" si="2"/>
        <v>3.85</v>
      </c>
      <c r="G19" s="238"/>
      <c r="H19" s="50">
        <f t="shared" si="3"/>
        <v>0</v>
      </c>
      <c r="I19" s="238"/>
      <c r="J19" s="50">
        <f t="shared" si="4"/>
        <v>0</v>
      </c>
      <c r="K19" s="238"/>
      <c r="L19" s="50">
        <f t="shared" si="5"/>
        <v>0</v>
      </c>
      <c r="M19" s="244"/>
      <c r="N19" s="50">
        <f t="shared" si="6"/>
        <v>0</v>
      </c>
      <c r="O19" s="238">
        <v>20</v>
      </c>
      <c r="P19" s="50">
        <f t="shared" si="7"/>
        <v>1.4</v>
      </c>
      <c r="Q19" s="238"/>
      <c r="R19" s="50">
        <f t="shared" si="8"/>
        <v>0</v>
      </c>
      <c r="S19" s="238"/>
      <c r="T19" s="50">
        <f t="shared" si="9"/>
        <v>0</v>
      </c>
      <c r="U19" s="238"/>
      <c r="V19" s="50">
        <f t="shared" si="10"/>
        <v>0</v>
      </c>
      <c r="W19" s="244"/>
      <c r="X19" s="50">
        <f t="shared" si="11"/>
        <v>0</v>
      </c>
      <c r="Y19" s="57">
        <f>(E19+G19+I19+K19+M19+O19+Q19+S19+U19+W19)</f>
        <v>75</v>
      </c>
      <c r="Z19" s="50">
        <f t="shared" si="12"/>
        <v>5.25</v>
      </c>
      <c r="AA19" s="96">
        <f t="shared" si="1"/>
        <v>300</v>
      </c>
      <c r="AB19" s="96"/>
      <c r="AC19" s="49">
        <f>(Y19+завтрак!Y19)/10</f>
        <v>13.6</v>
      </c>
    </row>
    <row r="20" spans="1:29" ht="30">
      <c r="A20" s="53">
        <v>18</v>
      </c>
      <c r="B20" s="51" t="str">
        <f>завтрак!B20</f>
        <v>Икра кабачковая для дет. питания</v>
      </c>
      <c r="C20" s="52" t="str">
        <f>завтрак!C20</f>
        <v>кг</v>
      </c>
      <c r="D20" s="79">
        <f>завтрак!D20</f>
        <v>110</v>
      </c>
      <c r="E20" s="238"/>
      <c r="F20" s="50">
        <f t="shared" si="2"/>
        <v>0</v>
      </c>
      <c r="G20" s="238"/>
      <c r="H20" s="50">
        <f t="shared" si="3"/>
        <v>0</v>
      </c>
      <c r="I20" s="238"/>
      <c r="J20" s="50">
        <f t="shared" si="4"/>
        <v>0</v>
      </c>
      <c r="K20" s="238"/>
      <c r="L20" s="50">
        <f t="shared" si="5"/>
        <v>0</v>
      </c>
      <c r="M20" s="244"/>
      <c r="N20" s="50">
        <f t="shared" si="6"/>
        <v>0</v>
      </c>
      <c r="O20" s="238"/>
      <c r="P20" s="50">
        <f t="shared" si="7"/>
        <v>0</v>
      </c>
      <c r="Q20" s="238"/>
      <c r="R20" s="50">
        <f t="shared" si="8"/>
        <v>0</v>
      </c>
      <c r="S20" s="238"/>
      <c r="T20" s="50">
        <f t="shared" si="9"/>
        <v>0</v>
      </c>
      <c r="U20" s="238"/>
      <c r="V20" s="50">
        <f t="shared" si="10"/>
        <v>0</v>
      </c>
      <c r="W20" s="244"/>
      <c r="X20" s="50">
        <f t="shared" si="11"/>
        <v>0</v>
      </c>
      <c r="Y20" s="57">
        <f t="shared" si="0"/>
        <v>0</v>
      </c>
      <c r="Z20" s="50">
        <f t="shared" si="12"/>
        <v>0</v>
      </c>
      <c r="AA20" s="96">
        <f t="shared" si="1"/>
        <v>0</v>
      </c>
      <c r="AB20" s="96"/>
      <c r="AC20" s="49">
        <f>(Y20+завтрак!Y20)/10</f>
        <v>10</v>
      </c>
    </row>
    <row r="21" spans="1:29" ht="30">
      <c r="A21" s="53">
        <v>19</v>
      </c>
      <c r="B21" s="51" t="str">
        <f>завтрак!B21</f>
        <v>Горошек зеленый (сорт салатный)</v>
      </c>
      <c r="C21" s="52" t="str">
        <f>завтрак!C21</f>
        <v>кг</v>
      </c>
      <c r="D21" s="79">
        <f>завтрак!D21</f>
        <v>120</v>
      </c>
      <c r="E21" s="238"/>
      <c r="F21" s="50">
        <f t="shared" si="2"/>
        <v>0</v>
      </c>
      <c r="G21" s="238"/>
      <c r="H21" s="50">
        <f t="shared" si="3"/>
        <v>0</v>
      </c>
      <c r="I21" s="238">
        <v>35</v>
      </c>
      <c r="J21" s="50">
        <f t="shared" si="4"/>
        <v>4.2</v>
      </c>
      <c r="K21" s="238"/>
      <c r="L21" s="50">
        <f t="shared" si="5"/>
        <v>0</v>
      </c>
      <c r="M21" s="244"/>
      <c r="N21" s="50">
        <f t="shared" si="6"/>
        <v>0</v>
      </c>
      <c r="O21" s="238"/>
      <c r="P21" s="50">
        <f t="shared" si="7"/>
        <v>0</v>
      </c>
      <c r="Q21" s="238"/>
      <c r="R21" s="50">
        <f t="shared" si="8"/>
        <v>0</v>
      </c>
      <c r="S21" s="238"/>
      <c r="T21" s="50">
        <f t="shared" si="9"/>
        <v>0</v>
      </c>
      <c r="U21" s="238"/>
      <c r="V21" s="50">
        <f t="shared" si="10"/>
        <v>0</v>
      </c>
      <c r="W21" s="244"/>
      <c r="X21" s="50">
        <f t="shared" si="11"/>
        <v>0</v>
      </c>
      <c r="Y21" s="57">
        <f t="shared" si="0"/>
        <v>35</v>
      </c>
      <c r="Z21" s="50">
        <f t="shared" si="12"/>
        <v>4.2</v>
      </c>
      <c r="AA21" s="96">
        <f t="shared" si="1"/>
        <v>140</v>
      </c>
      <c r="AB21" s="96"/>
      <c r="AC21" s="49">
        <f>(Y21+завтрак!Y21)/10</f>
        <v>7.8</v>
      </c>
    </row>
    <row r="22" spans="1:29" ht="30">
      <c r="A22" s="53">
        <v>20</v>
      </c>
      <c r="B22" s="51" t="str">
        <f>завтрак!B22</f>
        <v>Томатная паста с содержанием с/в (25-30%)</v>
      </c>
      <c r="C22" s="52" t="str">
        <f>завтрак!C22</f>
        <v>кг</v>
      </c>
      <c r="D22" s="79">
        <f>завтрак!D22</f>
        <v>123</v>
      </c>
      <c r="E22" s="238">
        <f>3+7</f>
        <v>10</v>
      </c>
      <c r="F22" s="50">
        <f t="shared" si="2"/>
        <v>1.23</v>
      </c>
      <c r="G22" s="238">
        <v>2</v>
      </c>
      <c r="H22" s="50">
        <f t="shared" si="3"/>
        <v>0.25</v>
      </c>
      <c r="I22" s="238">
        <v>5</v>
      </c>
      <c r="J22" s="50">
        <f t="shared" si="4"/>
        <v>0.62</v>
      </c>
      <c r="K22" s="238">
        <f>2+5</f>
        <v>7</v>
      </c>
      <c r="L22" s="50">
        <f t="shared" si="5"/>
        <v>0.86</v>
      </c>
      <c r="M22" s="244">
        <v>1</v>
      </c>
      <c r="N22" s="50">
        <f t="shared" si="6"/>
        <v>0.12</v>
      </c>
      <c r="O22" s="238">
        <v>5</v>
      </c>
      <c r="P22" s="50">
        <f t="shared" si="7"/>
        <v>0.62</v>
      </c>
      <c r="Q22" s="238">
        <v>2</v>
      </c>
      <c r="R22" s="50">
        <f t="shared" si="8"/>
        <v>0.25</v>
      </c>
      <c r="S22" s="238">
        <v>6</v>
      </c>
      <c r="T22" s="50">
        <f t="shared" si="9"/>
        <v>0.74</v>
      </c>
      <c r="U22" s="238">
        <v>5</v>
      </c>
      <c r="V22" s="50">
        <f t="shared" si="10"/>
        <v>0.62</v>
      </c>
      <c r="W22" s="244">
        <v>2</v>
      </c>
      <c r="X22" s="50">
        <f t="shared" si="11"/>
        <v>0.25</v>
      </c>
      <c r="Y22" s="57">
        <f t="shared" si="0"/>
        <v>45</v>
      </c>
      <c r="Z22" s="50">
        <f t="shared" si="12"/>
        <v>5.54</v>
      </c>
      <c r="AA22" s="96">
        <f t="shared" si="1"/>
        <v>180</v>
      </c>
      <c r="AB22" s="96"/>
      <c r="AC22" s="49">
        <f>(Y22+завтрак!Y22)/10</f>
        <v>7.2</v>
      </c>
    </row>
    <row r="23" spans="1:29" ht="15">
      <c r="A23" s="53">
        <v>21</v>
      </c>
      <c r="B23" s="51" t="str">
        <f>завтрак!B23</f>
        <v>Яблоки свежие (1 сорт)</v>
      </c>
      <c r="C23" s="52" t="str">
        <f>завтрак!C23</f>
        <v>кг</v>
      </c>
      <c r="D23" s="79">
        <f>завтрак!D23</f>
        <v>112</v>
      </c>
      <c r="E23" s="238"/>
      <c r="F23" s="50">
        <f t="shared" si="2"/>
        <v>0</v>
      </c>
      <c r="G23" s="238"/>
      <c r="H23" s="50">
        <f t="shared" si="3"/>
        <v>0</v>
      </c>
      <c r="I23" s="238">
        <v>75</v>
      </c>
      <c r="J23" s="50">
        <f t="shared" si="4"/>
        <v>8.4</v>
      </c>
      <c r="K23" s="238"/>
      <c r="L23" s="50">
        <f t="shared" si="5"/>
        <v>0</v>
      </c>
      <c r="M23" s="244">
        <v>60</v>
      </c>
      <c r="N23" s="50">
        <f t="shared" si="6"/>
        <v>6.72</v>
      </c>
      <c r="O23" s="238">
        <v>70</v>
      </c>
      <c r="P23" s="50">
        <f t="shared" si="7"/>
        <v>7.84</v>
      </c>
      <c r="Q23" s="238"/>
      <c r="R23" s="50">
        <f t="shared" si="8"/>
        <v>0</v>
      </c>
      <c r="S23" s="238">
        <v>100</v>
      </c>
      <c r="T23" s="50">
        <f t="shared" si="9"/>
        <v>11.2</v>
      </c>
      <c r="U23" s="238"/>
      <c r="V23" s="50">
        <f t="shared" si="10"/>
        <v>0</v>
      </c>
      <c r="W23" s="244">
        <v>75</v>
      </c>
      <c r="X23" s="50">
        <f t="shared" si="11"/>
        <v>8.4</v>
      </c>
      <c r="Y23" s="57">
        <f t="shared" si="0"/>
        <v>380</v>
      </c>
      <c r="Z23" s="50">
        <f t="shared" si="12"/>
        <v>42.56</v>
      </c>
      <c r="AA23" s="96">
        <f t="shared" si="1"/>
        <v>1520</v>
      </c>
      <c r="AB23" s="96"/>
      <c r="AC23" s="49">
        <f>(Y23+завтрак!Y23)/10</f>
        <v>75</v>
      </c>
    </row>
    <row r="24" spans="1:29" ht="15">
      <c r="A24" s="53">
        <v>22</v>
      </c>
      <c r="B24" s="51" t="str">
        <f>завтрак!B24</f>
        <v>Бананы свежие (1 сорт)</v>
      </c>
      <c r="C24" s="52" t="str">
        <f>завтрак!C24</f>
        <v>кг</v>
      </c>
      <c r="D24" s="79">
        <f>завтрак!D24</f>
        <v>150</v>
      </c>
      <c r="E24" s="238">
        <v>60</v>
      </c>
      <c r="F24" s="50">
        <f t="shared" si="2"/>
        <v>9</v>
      </c>
      <c r="G24" s="238"/>
      <c r="H24" s="50">
        <f t="shared" si="3"/>
        <v>0</v>
      </c>
      <c r="I24" s="238"/>
      <c r="J24" s="50">
        <f t="shared" si="4"/>
        <v>0</v>
      </c>
      <c r="K24" s="238"/>
      <c r="L24" s="50">
        <f t="shared" si="5"/>
        <v>0</v>
      </c>
      <c r="M24" s="244"/>
      <c r="N24" s="50">
        <f t="shared" si="6"/>
        <v>0</v>
      </c>
      <c r="O24" s="238"/>
      <c r="P24" s="50">
        <f t="shared" si="7"/>
        <v>0</v>
      </c>
      <c r="Q24" s="238">
        <v>70</v>
      </c>
      <c r="R24" s="50">
        <f t="shared" si="8"/>
        <v>10.5</v>
      </c>
      <c r="S24" s="238"/>
      <c r="T24" s="50">
        <f t="shared" si="9"/>
        <v>0</v>
      </c>
      <c r="U24" s="238"/>
      <c r="V24" s="50">
        <f t="shared" si="10"/>
        <v>0</v>
      </c>
      <c r="W24" s="244"/>
      <c r="X24" s="50">
        <f t="shared" si="11"/>
        <v>0</v>
      </c>
      <c r="Y24" s="57">
        <f t="shared" si="0"/>
        <v>130</v>
      </c>
      <c r="Z24" s="50">
        <f t="shared" si="12"/>
        <v>19.5</v>
      </c>
      <c r="AA24" s="96">
        <f t="shared" si="1"/>
        <v>520</v>
      </c>
      <c r="AB24" s="96"/>
      <c r="AC24" s="49">
        <f>(Y24+завтрак!Y24)/10</f>
        <v>30.5</v>
      </c>
    </row>
    <row r="25" spans="1:29" ht="15">
      <c r="A25" s="53">
        <v>23</v>
      </c>
      <c r="B25" s="51" t="str">
        <f>завтрак!B25</f>
        <v>Сухофрукты ассорти</v>
      </c>
      <c r="C25" s="52" t="str">
        <f>завтрак!C25</f>
        <v>кг</v>
      </c>
      <c r="D25" s="79">
        <f>завтрак!D25</f>
        <v>148</v>
      </c>
      <c r="E25" s="238">
        <v>14</v>
      </c>
      <c r="F25" s="50">
        <f t="shared" si="2"/>
        <v>2.07</v>
      </c>
      <c r="G25" s="238">
        <v>16</v>
      </c>
      <c r="H25" s="50">
        <f t="shared" si="3"/>
        <v>2.37</v>
      </c>
      <c r="I25" s="238">
        <v>14</v>
      </c>
      <c r="J25" s="50">
        <f t="shared" si="4"/>
        <v>2.07</v>
      </c>
      <c r="K25" s="238">
        <v>15</v>
      </c>
      <c r="L25" s="50">
        <f t="shared" si="5"/>
        <v>2.22</v>
      </c>
      <c r="M25" s="244">
        <v>15</v>
      </c>
      <c r="N25" s="50">
        <f t="shared" si="6"/>
        <v>2.22</v>
      </c>
      <c r="O25" s="238">
        <v>14</v>
      </c>
      <c r="P25" s="50">
        <f t="shared" si="7"/>
        <v>2.07</v>
      </c>
      <c r="Q25" s="238">
        <v>14</v>
      </c>
      <c r="R25" s="50">
        <f t="shared" si="8"/>
        <v>2.07</v>
      </c>
      <c r="S25" s="238"/>
      <c r="T25" s="50">
        <f t="shared" si="9"/>
        <v>0</v>
      </c>
      <c r="U25" s="238">
        <v>14</v>
      </c>
      <c r="V25" s="50">
        <f t="shared" si="10"/>
        <v>2.07</v>
      </c>
      <c r="W25" s="244">
        <v>14</v>
      </c>
      <c r="X25" s="50">
        <f t="shared" si="11"/>
        <v>2.07</v>
      </c>
      <c r="Y25" s="57">
        <f t="shared" si="0"/>
        <v>130</v>
      </c>
      <c r="Z25" s="50">
        <f t="shared" si="12"/>
        <v>19.24</v>
      </c>
      <c r="AA25" s="96">
        <f t="shared" si="1"/>
        <v>520</v>
      </c>
      <c r="AB25" s="96"/>
      <c r="AC25" s="49">
        <f>(Y25+завтрак!Y25)/10</f>
        <v>13</v>
      </c>
    </row>
    <row r="26" spans="1:29" ht="15">
      <c r="A26" s="53">
        <v>24</v>
      </c>
      <c r="B26" s="51" t="str">
        <f>завтрак!B26</f>
        <v>Изюм</v>
      </c>
      <c r="C26" s="52" t="str">
        <f>завтрак!C26</f>
        <v>кг</v>
      </c>
      <c r="D26" s="79">
        <f>завтрак!D26</f>
        <v>260</v>
      </c>
      <c r="E26" s="238"/>
      <c r="F26" s="50">
        <f t="shared" si="2"/>
        <v>0</v>
      </c>
      <c r="G26" s="238"/>
      <c r="H26" s="50">
        <f t="shared" si="3"/>
        <v>0</v>
      </c>
      <c r="I26" s="238"/>
      <c r="J26" s="50">
        <f t="shared" si="4"/>
        <v>0</v>
      </c>
      <c r="K26" s="238"/>
      <c r="L26" s="50">
        <f t="shared" si="5"/>
        <v>0</v>
      </c>
      <c r="M26" s="244"/>
      <c r="N26" s="50">
        <f t="shared" si="6"/>
        <v>0</v>
      </c>
      <c r="O26" s="238"/>
      <c r="P26" s="50">
        <f t="shared" si="7"/>
        <v>0</v>
      </c>
      <c r="Q26" s="238"/>
      <c r="R26" s="50">
        <f t="shared" si="8"/>
        <v>0</v>
      </c>
      <c r="S26" s="238"/>
      <c r="T26" s="50">
        <f t="shared" si="9"/>
        <v>0</v>
      </c>
      <c r="U26" s="238"/>
      <c r="V26" s="50">
        <f t="shared" si="10"/>
        <v>0</v>
      </c>
      <c r="W26" s="244"/>
      <c r="X26" s="50">
        <f t="shared" si="11"/>
        <v>0</v>
      </c>
      <c r="Y26" s="57">
        <f t="shared" si="0"/>
        <v>0</v>
      </c>
      <c r="Z26" s="50">
        <f t="shared" si="12"/>
        <v>0</v>
      </c>
      <c r="AA26" s="96">
        <f t="shared" si="1"/>
        <v>0</v>
      </c>
      <c r="AB26" s="96"/>
      <c r="AC26" s="49">
        <f>(Y26+завтрак!Y26)/10</f>
        <v>0</v>
      </c>
    </row>
    <row r="27" spans="1:29" ht="15">
      <c r="A27" s="53">
        <v>25</v>
      </c>
      <c r="B27" s="51" t="str">
        <f>завтрак!B27</f>
        <v>Повидло фруктовое (1 сорт)</v>
      </c>
      <c r="C27" s="52" t="str">
        <f>завтрак!C27</f>
        <v>кг</v>
      </c>
      <c r="D27" s="79">
        <f>завтрак!D27</f>
        <v>120</v>
      </c>
      <c r="E27" s="238"/>
      <c r="F27" s="50">
        <f t="shared" si="2"/>
        <v>0</v>
      </c>
      <c r="G27" s="238"/>
      <c r="H27" s="50">
        <f t="shared" si="3"/>
        <v>0</v>
      </c>
      <c r="I27" s="238"/>
      <c r="J27" s="50">
        <f t="shared" si="4"/>
        <v>0</v>
      </c>
      <c r="K27" s="238"/>
      <c r="L27" s="50">
        <f t="shared" si="5"/>
        <v>0</v>
      </c>
      <c r="M27" s="244"/>
      <c r="N27" s="50">
        <f t="shared" si="6"/>
        <v>0</v>
      </c>
      <c r="O27" s="238"/>
      <c r="P27" s="50">
        <f t="shared" si="7"/>
        <v>0</v>
      </c>
      <c r="Q27" s="238"/>
      <c r="R27" s="50">
        <f t="shared" si="8"/>
        <v>0</v>
      </c>
      <c r="S27" s="238"/>
      <c r="T27" s="50">
        <f t="shared" si="9"/>
        <v>0</v>
      </c>
      <c r="U27" s="238"/>
      <c r="V27" s="50">
        <f t="shared" si="10"/>
        <v>0</v>
      </c>
      <c r="W27" s="244"/>
      <c r="X27" s="50">
        <f t="shared" si="11"/>
        <v>0</v>
      </c>
      <c r="Y27" s="57">
        <f t="shared" si="0"/>
        <v>0</v>
      </c>
      <c r="Z27" s="50">
        <f t="shared" si="12"/>
        <v>0</v>
      </c>
      <c r="AA27" s="96">
        <f t="shared" si="1"/>
        <v>0</v>
      </c>
      <c r="AB27" s="96"/>
      <c r="AC27" s="49">
        <f>(Y27+завтрак!Y27)/10</f>
        <v>0</v>
      </c>
    </row>
    <row r="28" spans="1:29" ht="15">
      <c r="A28" s="53">
        <v>26</v>
      </c>
      <c r="B28" s="51" t="str">
        <f>завтрак!B28</f>
        <v>Сок фруктовый (1 литр)</v>
      </c>
      <c r="C28" s="52" t="str">
        <f>завтрак!C28</f>
        <v>л</v>
      </c>
      <c r="D28" s="79">
        <f>завтрак!D28</f>
        <v>61</v>
      </c>
      <c r="E28" s="238"/>
      <c r="F28" s="50">
        <f t="shared" si="2"/>
        <v>0</v>
      </c>
      <c r="G28" s="238"/>
      <c r="H28" s="50">
        <f t="shared" si="3"/>
        <v>0</v>
      </c>
      <c r="I28" s="238"/>
      <c r="J28" s="50">
        <f t="shared" si="4"/>
        <v>0</v>
      </c>
      <c r="K28" s="238"/>
      <c r="L28" s="50">
        <f t="shared" si="5"/>
        <v>0</v>
      </c>
      <c r="M28" s="244"/>
      <c r="N28" s="50">
        <f t="shared" si="6"/>
        <v>0</v>
      </c>
      <c r="O28" s="238"/>
      <c r="P28" s="50">
        <f t="shared" si="7"/>
        <v>0</v>
      </c>
      <c r="Q28" s="238"/>
      <c r="R28" s="50">
        <f t="shared" si="8"/>
        <v>0</v>
      </c>
      <c r="S28" s="238"/>
      <c r="T28" s="50">
        <f t="shared" si="9"/>
        <v>0</v>
      </c>
      <c r="U28" s="238"/>
      <c r="V28" s="50">
        <f t="shared" si="10"/>
        <v>0</v>
      </c>
      <c r="W28" s="244"/>
      <c r="X28" s="50">
        <f t="shared" si="11"/>
        <v>0</v>
      </c>
      <c r="Y28" s="57">
        <f t="shared" si="0"/>
        <v>0</v>
      </c>
      <c r="Z28" s="50">
        <f t="shared" si="12"/>
        <v>0</v>
      </c>
      <c r="AA28" s="96">
        <f t="shared" si="1"/>
        <v>0</v>
      </c>
      <c r="AB28" s="96"/>
      <c r="AC28" s="49">
        <f>(Y28+завтрак!Y28)/10</f>
        <v>20</v>
      </c>
    </row>
    <row r="29" spans="1:29" ht="30">
      <c r="A29" s="53">
        <v>27</v>
      </c>
      <c r="B29" s="51" t="str">
        <f>завтрак!B29</f>
        <v>Масло растительное, рафинированное</v>
      </c>
      <c r="C29" s="52" t="str">
        <f>завтрак!C29</f>
        <v>кг</v>
      </c>
      <c r="D29" s="79">
        <f>завтрак!D29</f>
        <v>138</v>
      </c>
      <c r="E29" s="238">
        <f>5+2+6+2</f>
        <v>15</v>
      </c>
      <c r="F29" s="50">
        <f t="shared" si="2"/>
        <v>2.07</v>
      </c>
      <c r="G29" s="238">
        <f>5</f>
        <v>5</v>
      </c>
      <c r="H29" s="50">
        <f t="shared" si="3"/>
        <v>0.69</v>
      </c>
      <c r="I29" s="238">
        <f>2+4</f>
        <v>6</v>
      </c>
      <c r="J29" s="50">
        <f t="shared" si="4"/>
        <v>0.83</v>
      </c>
      <c r="K29" s="238">
        <v>4</v>
      </c>
      <c r="L29" s="50">
        <f t="shared" si="5"/>
        <v>0.55</v>
      </c>
      <c r="M29" s="244">
        <f>5+5</f>
        <v>10</v>
      </c>
      <c r="N29" s="50">
        <f t="shared" si="6"/>
        <v>1.38</v>
      </c>
      <c r="O29" s="238">
        <f>4+4</f>
        <v>8</v>
      </c>
      <c r="P29" s="50">
        <f t="shared" si="7"/>
        <v>1.1</v>
      </c>
      <c r="Q29" s="238">
        <f>4+10+4</f>
        <v>18</v>
      </c>
      <c r="R29" s="50">
        <f t="shared" si="8"/>
        <v>2.48</v>
      </c>
      <c r="S29" s="238">
        <f>5+6</f>
        <v>11</v>
      </c>
      <c r="T29" s="50">
        <f t="shared" si="9"/>
        <v>1.52</v>
      </c>
      <c r="U29" s="238">
        <f>5+4</f>
        <v>9</v>
      </c>
      <c r="V29" s="50">
        <f t="shared" si="10"/>
        <v>1.24</v>
      </c>
      <c r="W29" s="244">
        <f>4+4</f>
        <v>8</v>
      </c>
      <c r="X29" s="50">
        <f t="shared" si="11"/>
        <v>1.1</v>
      </c>
      <c r="Y29" s="57">
        <f t="shared" si="0"/>
        <v>94</v>
      </c>
      <c r="Z29" s="50">
        <f t="shared" si="12"/>
        <v>12.97</v>
      </c>
      <c r="AA29" s="96">
        <f t="shared" si="1"/>
        <v>376</v>
      </c>
      <c r="AB29" s="96"/>
      <c r="AC29" s="49">
        <f>(Y29+завтрак!Y29)/10</f>
        <v>14.6</v>
      </c>
    </row>
    <row r="30" spans="1:29" ht="15">
      <c r="A30" s="53">
        <v>28</v>
      </c>
      <c r="B30" s="51" t="str">
        <f>завтрак!B30</f>
        <v>Рыба с/м (1 сорт), минтай</v>
      </c>
      <c r="C30" s="52" t="str">
        <f>завтрак!C30</f>
        <v>кг</v>
      </c>
      <c r="D30" s="79">
        <f>завтрак!D30</f>
        <v>207</v>
      </c>
      <c r="E30" s="238"/>
      <c r="F30" s="50">
        <f t="shared" si="2"/>
        <v>0</v>
      </c>
      <c r="G30" s="238"/>
      <c r="H30" s="50">
        <f t="shared" si="3"/>
        <v>0</v>
      </c>
      <c r="I30" s="238"/>
      <c r="J30" s="50">
        <f t="shared" si="4"/>
        <v>0</v>
      </c>
      <c r="K30" s="238">
        <v>123</v>
      </c>
      <c r="L30" s="50">
        <f t="shared" si="5"/>
        <v>25.46</v>
      </c>
      <c r="M30" s="244"/>
      <c r="N30" s="50">
        <f t="shared" si="6"/>
        <v>0</v>
      </c>
      <c r="O30" s="238"/>
      <c r="P30" s="50">
        <f t="shared" si="7"/>
        <v>0</v>
      </c>
      <c r="Q30" s="238"/>
      <c r="R30" s="50">
        <f t="shared" si="8"/>
        <v>0</v>
      </c>
      <c r="S30" s="238">
        <v>84</v>
      </c>
      <c r="T30" s="50">
        <f t="shared" si="9"/>
        <v>17.39</v>
      </c>
      <c r="U30" s="238"/>
      <c r="V30" s="50">
        <f t="shared" si="10"/>
        <v>0</v>
      </c>
      <c r="W30" s="244"/>
      <c r="X30" s="50">
        <f t="shared" si="11"/>
        <v>0</v>
      </c>
      <c r="Y30" s="57">
        <f t="shared" si="0"/>
        <v>207</v>
      </c>
      <c r="Z30" s="50">
        <f t="shared" si="12"/>
        <v>42.85</v>
      </c>
      <c r="AA30" s="96">
        <f t="shared" si="1"/>
        <v>828</v>
      </c>
      <c r="AB30" s="96"/>
      <c r="AC30" s="49">
        <f>(Y30+завтрак!Y30)/10</f>
        <v>44.2</v>
      </c>
    </row>
    <row r="31" spans="1:29" ht="15">
      <c r="A31" s="53">
        <v>29</v>
      </c>
      <c r="B31" s="51" t="str">
        <f>завтрак!B31</f>
        <v>Консервы рыбные (сайра)</v>
      </c>
      <c r="C31" s="52" t="str">
        <f>завтрак!C31</f>
        <v>кг</v>
      </c>
      <c r="D31" s="79">
        <f>завтрак!D31</f>
        <v>485</v>
      </c>
      <c r="E31" s="238"/>
      <c r="F31" s="50">
        <f t="shared" si="2"/>
        <v>0</v>
      </c>
      <c r="G31" s="238"/>
      <c r="H31" s="50">
        <f t="shared" si="3"/>
        <v>0</v>
      </c>
      <c r="I31" s="238"/>
      <c r="J31" s="50">
        <f t="shared" si="4"/>
        <v>0</v>
      </c>
      <c r="K31" s="238"/>
      <c r="L31" s="50">
        <f t="shared" si="5"/>
        <v>0</v>
      </c>
      <c r="M31" s="244"/>
      <c r="N31" s="50">
        <f t="shared" si="6"/>
        <v>0</v>
      </c>
      <c r="O31" s="238"/>
      <c r="P31" s="50">
        <f t="shared" si="7"/>
        <v>0</v>
      </c>
      <c r="Q31" s="238"/>
      <c r="R31" s="50">
        <f t="shared" si="8"/>
        <v>0</v>
      </c>
      <c r="S31" s="238"/>
      <c r="T31" s="50">
        <f t="shared" si="9"/>
        <v>0</v>
      </c>
      <c r="U31" s="238"/>
      <c r="V31" s="50">
        <f t="shared" si="10"/>
        <v>0</v>
      </c>
      <c r="W31" s="244"/>
      <c r="X31" s="50">
        <f t="shared" si="11"/>
        <v>0</v>
      </c>
      <c r="Y31" s="57">
        <f t="shared" si="0"/>
        <v>0</v>
      </c>
      <c r="Z31" s="50">
        <f t="shared" si="12"/>
        <v>0</v>
      </c>
      <c r="AA31" s="96">
        <f t="shared" si="1"/>
        <v>0</v>
      </c>
      <c r="AB31" s="96"/>
      <c r="AC31" s="49">
        <f>(Y31+завтрак!Y31)/10</f>
        <v>0</v>
      </c>
    </row>
    <row r="32" spans="1:29" ht="15">
      <c r="A32" s="53">
        <v>30</v>
      </c>
      <c r="B32" s="51" t="str">
        <f>завтрак!B32</f>
        <v>Мука пшеничная (высший сорт)</v>
      </c>
      <c r="C32" s="52" t="str">
        <f>завтрак!C32</f>
        <v>кг</v>
      </c>
      <c r="D32" s="79">
        <f>завтрак!D32</f>
        <v>38</v>
      </c>
      <c r="E32" s="238">
        <v>1</v>
      </c>
      <c r="F32" s="50">
        <f t="shared" si="2"/>
        <v>0.04</v>
      </c>
      <c r="G32" s="238">
        <v>3</v>
      </c>
      <c r="H32" s="50">
        <f t="shared" si="3"/>
        <v>0.11</v>
      </c>
      <c r="I32" s="238">
        <f>12+5</f>
        <v>17</v>
      </c>
      <c r="J32" s="50">
        <f t="shared" si="4"/>
        <v>0.65</v>
      </c>
      <c r="K32" s="238">
        <v>4</v>
      </c>
      <c r="L32" s="50">
        <f t="shared" si="5"/>
        <v>0.15</v>
      </c>
      <c r="M32" s="244">
        <v>10</v>
      </c>
      <c r="N32" s="50">
        <f t="shared" si="6"/>
        <v>0.38</v>
      </c>
      <c r="O32" s="238">
        <v>4</v>
      </c>
      <c r="P32" s="50">
        <f t="shared" si="7"/>
        <v>0.15</v>
      </c>
      <c r="Q32" s="238"/>
      <c r="R32" s="50">
        <f t="shared" si="8"/>
        <v>0</v>
      </c>
      <c r="S32" s="238">
        <v>6</v>
      </c>
      <c r="T32" s="50">
        <f t="shared" si="9"/>
        <v>0.23</v>
      </c>
      <c r="U32" s="238">
        <v>4</v>
      </c>
      <c r="V32" s="50">
        <f t="shared" si="10"/>
        <v>0.15</v>
      </c>
      <c r="W32" s="244">
        <v>4</v>
      </c>
      <c r="X32" s="50">
        <f t="shared" si="11"/>
        <v>0.15</v>
      </c>
      <c r="Y32" s="57">
        <f t="shared" si="0"/>
        <v>53</v>
      </c>
      <c r="Z32" s="50">
        <f t="shared" si="12"/>
        <v>2.01</v>
      </c>
      <c r="AA32" s="96">
        <f t="shared" si="1"/>
        <v>212</v>
      </c>
      <c r="AB32" s="96"/>
      <c r="AC32" s="49">
        <f>(Y32+завтрак!Y32)/10</f>
        <v>31.4</v>
      </c>
    </row>
    <row r="33" spans="1:29" ht="15">
      <c r="A33" s="53">
        <v>31</v>
      </c>
      <c r="B33" s="51" t="str">
        <f>завтрак!B33</f>
        <v>Крупа гречневая, в инд. уп.</v>
      </c>
      <c r="C33" s="52" t="str">
        <f>завтрак!C33</f>
        <v>кг</v>
      </c>
      <c r="D33" s="79">
        <f>завтрак!D33</f>
        <v>122</v>
      </c>
      <c r="E33" s="238"/>
      <c r="F33" s="50">
        <f t="shared" si="2"/>
        <v>0</v>
      </c>
      <c r="G33" s="238"/>
      <c r="H33" s="50">
        <f t="shared" si="3"/>
        <v>0</v>
      </c>
      <c r="I33" s="238">
        <v>55</v>
      </c>
      <c r="J33" s="50">
        <f t="shared" si="4"/>
        <v>6.71</v>
      </c>
      <c r="K33" s="238"/>
      <c r="L33" s="50">
        <f t="shared" si="5"/>
        <v>0</v>
      </c>
      <c r="M33" s="244"/>
      <c r="N33" s="50">
        <f t="shared" si="6"/>
        <v>0</v>
      </c>
      <c r="O33" s="238"/>
      <c r="P33" s="50">
        <f t="shared" si="7"/>
        <v>0</v>
      </c>
      <c r="Q33" s="238">
        <v>8</v>
      </c>
      <c r="R33" s="50">
        <f t="shared" si="8"/>
        <v>0.98</v>
      </c>
      <c r="S33" s="238"/>
      <c r="T33" s="50">
        <f t="shared" si="9"/>
        <v>0</v>
      </c>
      <c r="U33" s="238">
        <v>52</v>
      </c>
      <c r="V33" s="50">
        <f t="shared" si="10"/>
        <v>6.34</v>
      </c>
      <c r="W33" s="244"/>
      <c r="X33" s="50">
        <f t="shared" si="11"/>
        <v>0</v>
      </c>
      <c r="Y33" s="57">
        <f t="shared" si="0"/>
        <v>115</v>
      </c>
      <c r="Z33" s="50">
        <f t="shared" si="12"/>
        <v>14.03</v>
      </c>
      <c r="AA33" s="96">
        <f t="shared" si="1"/>
        <v>460</v>
      </c>
      <c r="AB33" s="96"/>
      <c r="AC33" s="49">
        <f>(Y33+завтрак!Y33)/10</f>
        <v>13.9</v>
      </c>
    </row>
    <row r="34" spans="1:29" ht="15">
      <c r="A34" s="53">
        <v>32</v>
      </c>
      <c r="B34" s="51" t="str">
        <f>завтрак!B34</f>
        <v>Крупа манная (1 сорт), в инд. уп.</v>
      </c>
      <c r="C34" s="52" t="str">
        <f>завтрак!C34</f>
        <v>кг</v>
      </c>
      <c r="D34" s="79">
        <f>завтрак!D34</f>
        <v>56</v>
      </c>
      <c r="E34" s="238"/>
      <c r="F34" s="50">
        <f t="shared" si="2"/>
        <v>0</v>
      </c>
      <c r="G34" s="238"/>
      <c r="H34" s="50">
        <f t="shared" si="3"/>
        <v>0</v>
      </c>
      <c r="I34" s="238"/>
      <c r="J34" s="50">
        <f t="shared" si="4"/>
        <v>0</v>
      </c>
      <c r="K34" s="238"/>
      <c r="L34" s="50">
        <f t="shared" si="5"/>
        <v>0</v>
      </c>
      <c r="M34" s="244"/>
      <c r="N34" s="50">
        <f t="shared" si="6"/>
        <v>0</v>
      </c>
      <c r="O34" s="238"/>
      <c r="P34" s="50">
        <f t="shared" si="7"/>
        <v>0</v>
      </c>
      <c r="Q34" s="238"/>
      <c r="R34" s="50">
        <f t="shared" si="8"/>
        <v>0</v>
      </c>
      <c r="S34" s="238"/>
      <c r="T34" s="50">
        <f t="shared" si="9"/>
        <v>0</v>
      </c>
      <c r="U34" s="238"/>
      <c r="V34" s="50">
        <f t="shared" si="10"/>
        <v>0</v>
      </c>
      <c r="W34" s="244"/>
      <c r="X34" s="50">
        <f t="shared" si="11"/>
        <v>0</v>
      </c>
      <c r="Y34" s="57">
        <f t="shared" si="0"/>
        <v>0</v>
      </c>
      <c r="Z34" s="50">
        <f t="shared" si="12"/>
        <v>0</v>
      </c>
      <c r="AA34" s="96">
        <f t="shared" si="1"/>
        <v>0</v>
      </c>
      <c r="AB34" s="96"/>
      <c r="AC34" s="49">
        <f>(Y34+завтрак!Y34)/10</f>
        <v>0</v>
      </c>
    </row>
    <row r="35" spans="1:29" ht="15">
      <c r="A35" s="53">
        <v>33</v>
      </c>
      <c r="B35" s="51" t="str">
        <f>завтрак!B35</f>
        <v>Рис (1 сорт), в инд. уп.</v>
      </c>
      <c r="C35" s="52" t="str">
        <f>завтрак!C35</f>
        <v>кг</v>
      </c>
      <c r="D35" s="79">
        <f>завтрак!D35</f>
        <v>98</v>
      </c>
      <c r="E35" s="238"/>
      <c r="F35" s="50">
        <f t="shared" si="2"/>
        <v>0</v>
      </c>
      <c r="G35" s="238"/>
      <c r="H35" s="50">
        <f t="shared" si="3"/>
        <v>0</v>
      </c>
      <c r="I35" s="238"/>
      <c r="J35" s="50">
        <f t="shared" si="4"/>
        <v>0</v>
      </c>
      <c r="K35" s="238"/>
      <c r="L35" s="50">
        <f t="shared" si="5"/>
        <v>0</v>
      </c>
      <c r="M35" s="244"/>
      <c r="N35" s="50">
        <f t="shared" si="6"/>
        <v>0</v>
      </c>
      <c r="O35" s="238"/>
      <c r="P35" s="50">
        <f t="shared" si="7"/>
        <v>0</v>
      </c>
      <c r="Q35" s="238">
        <v>54</v>
      </c>
      <c r="R35" s="50">
        <f t="shared" si="8"/>
        <v>5.29</v>
      </c>
      <c r="S35" s="238"/>
      <c r="T35" s="50">
        <f t="shared" si="9"/>
        <v>0</v>
      </c>
      <c r="U35" s="238">
        <v>8</v>
      </c>
      <c r="V35" s="50">
        <f t="shared" si="10"/>
        <v>0.78</v>
      </c>
      <c r="W35" s="244"/>
      <c r="X35" s="50">
        <f t="shared" si="11"/>
        <v>0</v>
      </c>
      <c r="Y35" s="57">
        <f t="shared" si="0"/>
        <v>62</v>
      </c>
      <c r="Z35" s="50">
        <f t="shared" si="12"/>
        <v>6.08</v>
      </c>
      <c r="AA35" s="96">
        <f t="shared" si="1"/>
        <v>248</v>
      </c>
      <c r="AB35" s="96"/>
      <c r="AC35" s="49">
        <f>(Y35+завтрак!Y35)/10</f>
        <v>14.1</v>
      </c>
    </row>
    <row r="36" spans="1:29" ht="30">
      <c r="A36" s="53">
        <v>34</v>
      </c>
      <c r="B36" s="51" t="str">
        <f>завтрак!B36</f>
        <v>Крупа пшеничная (1 сорт), в инд. уп.</v>
      </c>
      <c r="C36" s="52" t="str">
        <f>завтрак!C36</f>
        <v>кг</v>
      </c>
      <c r="D36" s="79">
        <f>завтрак!D36</f>
        <v>61</v>
      </c>
      <c r="E36" s="238"/>
      <c r="F36" s="50">
        <f t="shared" si="2"/>
        <v>0</v>
      </c>
      <c r="G36" s="238"/>
      <c r="H36" s="50">
        <f t="shared" si="3"/>
        <v>0</v>
      </c>
      <c r="I36" s="238"/>
      <c r="J36" s="50">
        <f t="shared" si="4"/>
        <v>0</v>
      </c>
      <c r="K36" s="238"/>
      <c r="L36" s="50">
        <f t="shared" si="5"/>
        <v>0</v>
      </c>
      <c r="M36" s="244"/>
      <c r="N36" s="50">
        <f t="shared" si="6"/>
        <v>0</v>
      </c>
      <c r="O36" s="238"/>
      <c r="P36" s="50">
        <f t="shared" si="7"/>
        <v>0</v>
      </c>
      <c r="Q36" s="238"/>
      <c r="R36" s="50">
        <f t="shared" si="8"/>
        <v>0</v>
      </c>
      <c r="S36" s="238"/>
      <c r="T36" s="50">
        <f t="shared" si="9"/>
        <v>0</v>
      </c>
      <c r="U36" s="238"/>
      <c r="V36" s="50">
        <f t="shared" si="10"/>
        <v>0</v>
      </c>
      <c r="W36" s="244">
        <v>35</v>
      </c>
      <c r="X36" s="50">
        <f t="shared" si="11"/>
        <v>2.14</v>
      </c>
      <c r="Y36" s="57">
        <f t="shared" si="0"/>
        <v>35</v>
      </c>
      <c r="Z36" s="50">
        <f t="shared" si="12"/>
        <v>2.14</v>
      </c>
      <c r="AA36" s="96">
        <f t="shared" si="1"/>
        <v>140</v>
      </c>
      <c r="AB36" s="96"/>
      <c r="AC36" s="49">
        <f>(Y36+завтрак!Y36)/10</f>
        <v>7</v>
      </c>
    </row>
    <row r="37" spans="1:29" ht="15">
      <c r="A37" s="53">
        <v>35</v>
      </c>
      <c r="B37" s="51" t="str">
        <f>завтрак!B37</f>
        <v>Пшено (1 сорт), в инд. уп.</v>
      </c>
      <c r="C37" s="52" t="str">
        <f>завтрак!C37</f>
        <v>кг</v>
      </c>
      <c r="D37" s="79">
        <f>завтрак!D37</f>
        <v>61</v>
      </c>
      <c r="E37" s="238"/>
      <c r="F37" s="50">
        <f t="shared" si="2"/>
        <v>0</v>
      </c>
      <c r="G37" s="238">
        <v>53</v>
      </c>
      <c r="H37" s="50">
        <f t="shared" si="3"/>
        <v>3.23</v>
      </c>
      <c r="I37" s="238"/>
      <c r="J37" s="50">
        <f t="shared" si="4"/>
        <v>0</v>
      </c>
      <c r="K37" s="238"/>
      <c r="L37" s="50">
        <f t="shared" si="5"/>
        <v>0</v>
      </c>
      <c r="M37" s="244"/>
      <c r="N37" s="50">
        <f t="shared" si="6"/>
        <v>0</v>
      </c>
      <c r="O37" s="238"/>
      <c r="P37" s="50">
        <f t="shared" si="7"/>
        <v>0</v>
      </c>
      <c r="Q37" s="238"/>
      <c r="R37" s="50">
        <f t="shared" si="8"/>
        <v>0</v>
      </c>
      <c r="S37" s="238"/>
      <c r="T37" s="50">
        <f t="shared" si="9"/>
        <v>0</v>
      </c>
      <c r="U37" s="238"/>
      <c r="V37" s="50">
        <f t="shared" si="10"/>
        <v>0</v>
      </c>
      <c r="W37" s="244"/>
      <c r="X37" s="50">
        <f t="shared" si="11"/>
        <v>0</v>
      </c>
      <c r="Y37" s="57">
        <f t="shared" si="0"/>
        <v>53</v>
      </c>
      <c r="Z37" s="50">
        <f t="shared" si="12"/>
        <v>3.23</v>
      </c>
      <c r="AA37" s="96">
        <f t="shared" si="1"/>
        <v>212</v>
      </c>
      <c r="AB37" s="96"/>
      <c r="AC37" s="49">
        <f>(Y37+завтрак!Y37)/10</f>
        <v>10.5</v>
      </c>
    </row>
    <row r="38" spans="1:29" ht="15">
      <c r="A38" s="53">
        <v>36</v>
      </c>
      <c r="B38" s="51" t="str">
        <f>завтрак!B38</f>
        <v>Горох шлифованный, в инд. уп.</v>
      </c>
      <c r="C38" s="52" t="str">
        <f>завтрак!C38</f>
        <v>кг</v>
      </c>
      <c r="D38" s="79">
        <f>завтрак!D38</f>
        <v>61</v>
      </c>
      <c r="E38" s="238"/>
      <c r="F38" s="50">
        <f t="shared" si="2"/>
        <v>0</v>
      </c>
      <c r="G38" s="238"/>
      <c r="H38" s="50">
        <f t="shared" si="3"/>
        <v>0</v>
      </c>
      <c r="I38" s="238"/>
      <c r="J38" s="50">
        <f t="shared" si="4"/>
        <v>0</v>
      </c>
      <c r="K38" s="238"/>
      <c r="L38" s="50">
        <f t="shared" si="5"/>
        <v>0</v>
      </c>
      <c r="M38" s="244">
        <v>20</v>
      </c>
      <c r="N38" s="50">
        <f t="shared" si="6"/>
        <v>1.22</v>
      </c>
      <c r="O38" s="238"/>
      <c r="P38" s="50">
        <f t="shared" si="7"/>
        <v>0</v>
      </c>
      <c r="Q38" s="238"/>
      <c r="R38" s="50">
        <f t="shared" si="8"/>
        <v>0</v>
      </c>
      <c r="S38" s="238">
        <v>18</v>
      </c>
      <c r="T38" s="50">
        <f t="shared" si="9"/>
        <v>1.1</v>
      </c>
      <c r="U38" s="238"/>
      <c r="V38" s="50">
        <f t="shared" si="10"/>
        <v>0</v>
      </c>
      <c r="W38" s="244"/>
      <c r="X38" s="50">
        <f t="shared" si="11"/>
        <v>0</v>
      </c>
      <c r="Y38" s="57">
        <f t="shared" si="0"/>
        <v>38</v>
      </c>
      <c r="Z38" s="50">
        <f t="shared" si="12"/>
        <v>2.32</v>
      </c>
      <c r="AA38" s="96">
        <f t="shared" si="1"/>
        <v>152</v>
      </c>
      <c r="AB38" s="96"/>
      <c r="AC38" s="49">
        <f>(Y38+завтрак!Y38)/10</f>
        <v>3.8</v>
      </c>
    </row>
    <row r="39" spans="1:29" ht="15">
      <c r="A39" s="53">
        <v>37</v>
      </c>
      <c r="B39" s="51" t="str">
        <f>завтрак!B39</f>
        <v>Крупа перловая, в инд. уп.</v>
      </c>
      <c r="C39" s="52" t="str">
        <f>завтрак!C39</f>
        <v>кг</v>
      </c>
      <c r="D39" s="79">
        <f>завтрак!D39</f>
        <v>51</v>
      </c>
      <c r="E39" s="238"/>
      <c r="F39" s="50">
        <f t="shared" si="2"/>
        <v>0</v>
      </c>
      <c r="G39" s="238"/>
      <c r="H39" s="50">
        <f t="shared" si="3"/>
        <v>0</v>
      </c>
      <c r="I39" s="238"/>
      <c r="J39" s="50">
        <f t="shared" si="4"/>
        <v>0</v>
      </c>
      <c r="K39" s="238"/>
      <c r="L39" s="50">
        <f t="shared" si="5"/>
        <v>0</v>
      </c>
      <c r="M39" s="244"/>
      <c r="N39" s="50">
        <f t="shared" si="6"/>
        <v>0</v>
      </c>
      <c r="O39" s="238">
        <v>8</v>
      </c>
      <c r="P39" s="50">
        <f t="shared" si="7"/>
        <v>0.41</v>
      </c>
      <c r="Q39" s="238"/>
      <c r="R39" s="50">
        <f t="shared" si="8"/>
        <v>0</v>
      </c>
      <c r="S39" s="238"/>
      <c r="T39" s="50">
        <f t="shared" si="9"/>
        <v>0</v>
      </c>
      <c r="U39" s="238"/>
      <c r="V39" s="50">
        <f t="shared" si="10"/>
        <v>0</v>
      </c>
      <c r="W39" s="244"/>
      <c r="X39" s="50">
        <f t="shared" si="11"/>
        <v>0</v>
      </c>
      <c r="Y39" s="57">
        <f t="shared" si="0"/>
        <v>8</v>
      </c>
      <c r="Z39" s="50">
        <f t="shared" si="12"/>
        <v>0.41</v>
      </c>
      <c r="AA39" s="96">
        <f t="shared" si="1"/>
        <v>32</v>
      </c>
      <c r="AB39" s="96"/>
      <c r="AC39" s="49">
        <f>(Y39+завтрак!Y39)/10</f>
        <v>0.8</v>
      </c>
    </row>
    <row r="40" spans="1:29" ht="15">
      <c r="A40" s="53">
        <v>38</v>
      </c>
      <c r="B40" s="51" t="str">
        <f>завтрак!B40</f>
        <v>Крупа ячневая, в инд. уп.</v>
      </c>
      <c r="C40" s="52" t="str">
        <f>завтрак!C40</f>
        <v>кг</v>
      </c>
      <c r="D40" s="79">
        <f>завтрак!D40</f>
        <v>51</v>
      </c>
      <c r="E40" s="238"/>
      <c r="F40" s="50">
        <f t="shared" si="2"/>
        <v>0</v>
      </c>
      <c r="G40" s="238"/>
      <c r="H40" s="50">
        <f t="shared" si="3"/>
        <v>0</v>
      </c>
      <c r="I40" s="238"/>
      <c r="J40" s="50">
        <f t="shared" si="4"/>
        <v>0</v>
      </c>
      <c r="K40" s="238"/>
      <c r="L40" s="50">
        <f t="shared" si="5"/>
        <v>0</v>
      </c>
      <c r="M40" s="244">
        <v>50</v>
      </c>
      <c r="N40" s="50">
        <f t="shared" si="6"/>
        <v>2.55</v>
      </c>
      <c r="O40" s="238"/>
      <c r="P40" s="50">
        <f t="shared" si="7"/>
        <v>0</v>
      </c>
      <c r="Q40" s="238"/>
      <c r="R40" s="50">
        <f t="shared" si="8"/>
        <v>0</v>
      </c>
      <c r="S40" s="238"/>
      <c r="T40" s="50">
        <f t="shared" si="9"/>
        <v>0</v>
      </c>
      <c r="U40" s="238"/>
      <c r="V40" s="50">
        <f t="shared" si="10"/>
        <v>0</v>
      </c>
      <c r="W40" s="244"/>
      <c r="X40" s="50">
        <f t="shared" si="11"/>
        <v>0</v>
      </c>
      <c r="Y40" s="57">
        <f t="shared" si="0"/>
        <v>50</v>
      </c>
      <c r="Z40" s="50">
        <f t="shared" si="12"/>
        <v>2.55</v>
      </c>
      <c r="AA40" s="96">
        <f t="shared" si="1"/>
        <v>200</v>
      </c>
      <c r="AB40" s="96"/>
      <c r="AC40" s="49">
        <f>(Y40+завтрак!Y40)/10</f>
        <v>5</v>
      </c>
    </row>
    <row r="41" spans="1:29" ht="15">
      <c r="A41" s="53">
        <v>39</v>
      </c>
      <c r="B41" s="51" t="str">
        <f>завтрак!B41</f>
        <v>Хлопья "Геркулес", в инд. уп.</v>
      </c>
      <c r="C41" s="52" t="str">
        <f>завтрак!C41</f>
        <v>кг</v>
      </c>
      <c r="D41" s="79">
        <f>завтрак!D41</f>
        <v>79</v>
      </c>
      <c r="E41" s="238"/>
      <c r="F41" s="50">
        <f t="shared" si="2"/>
        <v>0</v>
      </c>
      <c r="G41" s="238"/>
      <c r="H41" s="50">
        <f t="shared" si="3"/>
        <v>0</v>
      </c>
      <c r="I41" s="238"/>
      <c r="J41" s="50">
        <f t="shared" si="4"/>
        <v>0</v>
      </c>
      <c r="K41" s="238"/>
      <c r="L41" s="50">
        <f t="shared" si="5"/>
        <v>0</v>
      </c>
      <c r="M41" s="244"/>
      <c r="N41" s="50">
        <f t="shared" si="6"/>
        <v>0</v>
      </c>
      <c r="O41" s="238"/>
      <c r="P41" s="50">
        <f t="shared" si="7"/>
        <v>0</v>
      </c>
      <c r="Q41" s="238"/>
      <c r="R41" s="50">
        <f t="shared" si="8"/>
        <v>0</v>
      </c>
      <c r="S41" s="238"/>
      <c r="T41" s="50">
        <f t="shared" si="9"/>
        <v>0</v>
      </c>
      <c r="U41" s="238"/>
      <c r="V41" s="50">
        <f t="shared" si="10"/>
        <v>0</v>
      </c>
      <c r="W41" s="244"/>
      <c r="X41" s="50">
        <f t="shared" si="11"/>
        <v>0</v>
      </c>
      <c r="Y41" s="57">
        <f t="shared" si="0"/>
        <v>0</v>
      </c>
      <c r="Z41" s="50">
        <f t="shared" si="12"/>
        <v>0</v>
      </c>
      <c r="AA41" s="96">
        <f t="shared" si="1"/>
        <v>0</v>
      </c>
      <c r="AB41" s="96"/>
      <c r="AC41" s="49">
        <f>(Y41+завтрак!Y41)/10</f>
        <v>0</v>
      </c>
    </row>
    <row r="42" spans="1:29" ht="15">
      <c r="A42" s="53">
        <v>40</v>
      </c>
      <c r="B42" s="51" t="str">
        <f>завтрак!B42</f>
        <v>Сахар-песок</v>
      </c>
      <c r="C42" s="52" t="str">
        <f>завтрак!C42</f>
        <v>кг</v>
      </c>
      <c r="D42" s="79">
        <f>завтрак!D42</f>
        <v>85</v>
      </c>
      <c r="E42" s="238">
        <f>1+12</f>
        <v>13</v>
      </c>
      <c r="F42" s="50">
        <f t="shared" si="2"/>
        <v>1.11</v>
      </c>
      <c r="G42" s="238">
        <v>13</v>
      </c>
      <c r="H42" s="50">
        <f t="shared" si="3"/>
        <v>1.11</v>
      </c>
      <c r="I42" s="238">
        <v>13</v>
      </c>
      <c r="J42" s="50">
        <f t="shared" si="4"/>
        <v>1.11</v>
      </c>
      <c r="K42" s="238">
        <v>14</v>
      </c>
      <c r="L42" s="50">
        <f t="shared" si="5"/>
        <v>1.19</v>
      </c>
      <c r="M42" s="244">
        <v>14</v>
      </c>
      <c r="N42" s="50">
        <f t="shared" si="6"/>
        <v>1.19</v>
      </c>
      <c r="O42" s="238">
        <v>14</v>
      </c>
      <c r="P42" s="50">
        <f t="shared" si="7"/>
        <v>1.19</v>
      </c>
      <c r="Q42" s="238">
        <v>12</v>
      </c>
      <c r="R42" s="50">
        <f t="shared" si="8"/>
        <v>1.02</v>
      </c>
      <c r="S42" s="238">
        <v>10</v>
      </c>
      <c r="T42" s="50">
        <f t="shared" si="9"/>
        <v>0.85</v>
      </c>
      <c r="U42" s="238">
        <v>14</v>
      </c>
      <c r="V42" s="50">
        <f t="shared" si="10"/>
        <v>1.19</v>
      </c>
      <c r="W42" s="244">
        <v>12</v>
      </c>
      <c r="X42" s="50">
        <f t="shared" si="11"/>
        <v>1.02</v>
      </c>
      <c r="Y42" s="57">
        <f t="shared" si="0"/>
        <v>129</v>
      </c>
      <c r="Z42" s="50">
        <f t="shared" si="12"/>
        <v>10.97</v>
      </c>
      <c r="AA42" s="96">
        <f t="shared" si="1"/>
        <v>516</v>
      </c>
      <c r="AB42" s="96"/>
      <c r="AC42" s="49">
        <f>(Y42+завтрак!Y42)/10</f>
        <v>29.55</v>
      </c>
    </row>
    <row r="43" spans="1:29" ht="15">
      <c r="A43" s="53">
        <v>41</v>
      </c>
      <c r="B43" s="51" t="str">
        <f>завтрак!B43</f>
        <v>Макароны (высший сорт)</v>
      </c>
      <c r="C43" s="52" t="str">
        <f>завтрак!C43</f>
        <v>кг</v>
      </c>
      <c r="D43" s="79">
        <f>завтрак!D43</f>
        <v>43</v>
      </c>
      <c r="E43" s="238"/>
      <c r="F43" s="50">
        <f t="shared" si="2"/>
        <v>0</v>
      </c>
      <c r="G43" s="238"/>
      <c r="H43" s="50">
        <f t="shared" si="3"/>
        <v>0</v>
      </c>
      <c r="I43" s="238"/>
      <c r="J43" s="50">
        <f t="shared" si="4"/>
        <v>0</v>
      </c>
      <c r="K43" s="238"/>
      <c r="L43" s="50">
        <f t="shared" si="5"/>
        <v>0</v>
      </c>
      <c r="M43" s="244"/>
      <c r="N43" s="50">
        <f t="shared" si="6"/>
        <v>0</v>
      </c>
      <c r="O43" s="238">
        <v>51</v>
      </c>
      <c r="P43" s="50">
        <f t="shared" si="7"/>
        <v>2.19</v>
      </c>
      <c r="Q43" s="238"/>
      <c r="R43" s="50">
        <f t="shared" si="8"/>
        <v>0</v>
      </c>
      <c r="S43" s="238"/>
      <c r="T43" s="50">
        <f t="shared" si="9"/>
        <v>0</v>
      </c>
      <c r="U43" s="238"/>
      <c r="V43" s="50">
        <f t="shared" si="10"/>
        <v>0</v>
      </c>
      <c r="W43" s="244"/>
      <c r="X43" s="50">
        <f t="shared" si="11"/>
        <v>0</v>
      </c>
      <c r="Y43" s="57">
        <f t="shared" si="0"/>
        <v>51</v>
      </c>
      <c r="Z43" s="50">
        <f t="shared" si="12"/>
        <v>2.19</v>
      </c>
      <c r="AA43" s="96">
        <f t="shared" si="1"/>
        <v>204</v>
      </c>
      <c r="AB43" s="96"/>
      <c r="AC43" s="49">
        <f>(Y43+завтрак!Y43)/10</f>
        <v>10.2</v>
      </c>
    </row>
    <row r="44" spans="1:29" ht="15">
      <c r="A44" s="53">
        <v>42</v>
      </c>
      <c r="B44" s="51" t="str">
        <f>завтрак!B44</f>
        <v>Вермишель (высший сорт)</v>
      </c>
      <c r="C44" s="52" t="str">
        <f>завтрак!C44</f>
        <v>кг</v>
      </c>
      <c r="D44" s="79">
        <f>завтрак!D44</f>
        <v>44</v>
      </c>
      <c r="E44" s="238"/>
      <c r="F44" s="50">
        <f t="shared" si="2"/>
        <v>0</v>
      </c>
      <c r="G44" s="238">
        <v>10</v>
      </c>
      <c r="H44" s="50">
        <f t="shared" si="3"/>
        <v>0.44</v>
      </c>
      <c r="I44" s="238"/>
      <c r="J44" s="50">
        <f t="shared" si="4"/>
        <v>0</v>
      </c>
      <c r="K44" s="238"/>
      <c r="L44" s="50">
        <f t="shared" si="5"/>
        <v>0</v>
      </c>
      <c r="M44" s="244"/>
      <c r="N44" s="50">
        <f t="shared" si="6"/>
        <v>0</v>
      </c>
      <c r="O44" s="238"/>
      <c r="P44" s="50">
        <f t="shared" si="7"/>
        <v>0</v>
      </c>
      <c r="Q44" s="238"/>
      <c r="R44" s="50">
        <f t="shared" si="8"/>
        <v>0</v>
      </c>
      <c r="S44" s="238"/>
      <c r="T44" s="50">
        <f t="shared" si="9"/>
        <v>0</v>
      </c>
      <c r="U44" s="238"/>
      <c r="V44" s="50">
        <f t="shared" si="10"/>
        <v>0</v>
      </c>
      <c r="W44" s="244"/>
      <c r="X44" s="50">
        <f t="shared" si="11"/>
        <v>0</v>
      </c>
      <c r="Y44" s="57">
        <f t="shared" si="0"/>
        <v>10</v>
      </c>
      <c r="Z44" s="50">
        <f t="shared" si="12"/>
        <v>0.44</v>
      </c>
      <c r="AA44" s="96">
        <f t="shared" si="1"/>
        <v>40</v>
      </c>
      <c r="AB44" s="96"/>
      <c r="AC44" s="49">
        <f>(Y44+завтрак!Y44)/10</f>
        <v>1</v>
      </c>
    </row>
    <row r="45" spans="1:29" ht="15">
      <c r="A45" s="53">
        <v>43</v>
      </c>
      <c r="B45" s="51" t="str">
        <f>завтрак!B45</f>
        <v>Дрожжи сухие</v>
      </c>
      <c r="C45" s="52" t="str">
        <f>завтрак!C45</f>
        <v>кг</v>
      </c>
      <c r="D45" s="79">
        <f>завтрак!D45</f>
        <v>377</v>
      </c>
      <c r="E45" s="238"/>
      <c r="F45" s="50">
        <f t="shared" si="2"/>
        <v>0</v>
      </c>
      <c r="G45" s="238"/>
      <c r="H45" s="50">
        <f t="shared" si="3"/>
        <v>0</v>
      </c>
      <c r="I45" s="238"/>
      <c r="J45" s="50">
        <f t="shared" si="4"/>
        <v>0</v>
      </c>
      <c r="K45" s="238"/>
      <c r="L45" s="50">
        <f t="shared" si="5"/>
        <v>0</v>
      </c>
      <c r="M45" s="244"/>
      <c r="N45" s="50">
        <f t="shared" si="6"/>
        <v>0</v>
      </c>
      <c r="O45" s="238"/>
      <c r="P45" s="50">
        <f t="shared" si="7"/>
        <v>0</v>
      </c>
      <c r="Q45" s="238"/>
      <c r="R45" s="50">
        <f t="shared" si="8"/>
        <v>0</v>
      </c>
      <c r="S45" s="238"/>
      <c r="T45" s="50">
        <f t="shared" si="9"/>
        <v>0</v>
      </c>
      <c r="U45" s="238"/>
      <c r="V45" s="50">
        <f t="shared" si="10"/>
        <v>0</v>
      </c>
      <c r="W45" s="244"/>
      <c r="X45" s="50">
        <f t="shared" si="11"/>
        <v>0</v>
      </c>
      <c r="Y45" s="57">
        <f t="shared" si="0"/>
        <v>0</v>
      </c>
      <c r="Z45" s="50">
        <f t="shared" si="12"/>
        <v>0</v>
      </c>
      <c r="AA45" s="96">
        <f t="shared" si="1"/>
        <v>0</v>
      </c>
      <c r="AB45" s="96"/>
      <c r="AC45" s="49">
        <f>(Y45+завтрак!Y45)/10</f>
        <v>0.45</v>
      </c>
    </row>
    <row r="46" spans="1:29" ht="15">
      <c r="A46" s="53">
        <v>44</v>
      </c>
      <c r="B46" s="51" t="str">
        <f>завтрак!B46</f>
        <v>Соль йодированная</v>
      </c>
      <c r="C46" s="52" t="str">
        <f>завтрак!C46</f>
        <v>кг</v>
      </c>
      <c r="D46" s="79">
        <f>завтрак!D46</f>
        <v>24</v>
      </c>
      <c r="E46" s="238">
        <v>4</v>
      </c>
      <c r="F46" s="50">
        <f t="shared" si="2"/>
        <v>0.1</v>
      </c>
      <c r="G46" s="238">
        <v>3.5</v>
      </c>
      <c r="H46" s="50">
        <f t="shared" si="3"/>
        <v>0.08</v>
      </c>
      <c r="I46" s="238">
        <v>2.5</v>
      </c>
      <c r="J46" s="50">
        <f t="shared" si="4"/>
        <v>0.06</v>
      </c>
      <c r="K46" s="238">
        <v>2.5</v>
      </c>
      <c r="L46" s="50">
        <f t="shared" si="5"/>
        <v>0.06</v>
      </c>
      <c r="M46" s="244">
        <v>2</v>
      </c>
      <c r="N46" s="50">
        <f t="shared" si="6"/>
        <v>0.05</v>
      </c>
      <c r="O46" s="238">
        <v>3.5</v>
      </c>
      <c r="P46" s="50">
        <f t="shared" si="7"/>
        <v>0.08</v>
      </c>
      <c r="Q46" s="238">
        <v>3</v>
      </c>
      <c r="R46" s="50">
        <f t="shared" si="8"/>
        <v>0.07</v>
      </c>
      <c r="S46" s="238">
        <v>3</v>
      </c>
      <c r="T46" s="50">
        <f t="shared" si="9"/>
        <v>0.07</v>
      </c>
      <c r="U46" s="238">
        <v>3.5</v>
      </c>
      <c r="V46" s="50">
        <f t="shared" si="10"/>
        <v>0.08</v>
      </c>
      <c r="W46" s="244">
        <v>4</v>
      </c>
      <c r="X46" s="50">
        <f t="shared" si="11"/>
        <v>0.1</v>
      </c>
      <c r="Y46" s="57">
        <f t="shared" si="0"/>
        <v>31.5</v>
      </c>
      <c r="Z46" s="50">
        <f t="shared" si="12"/>
        <v>0.76</v>
      </c>
      <c r="AA46" s="96">
        <f t="shared" si="1"/>
        <v>126</v>
      </c>
      <c r="AB46" s="96"/>
      <c r="AC46" s="49">
        <f>(Y46+завтрак!Y46)/10</f>
        <v>5.65</v>
      </c>
    </row>
    <row r="47" spans="1:29" ht="15">
      <c r="A47" s="53">
        <v>45</v>
      </c>
      <c r="B47" s="51" t="str">
        <f>завтрак!B47</f>
        <v>Кисель фруктовый (концентрат)</v>
      </c>
      <c r="C47" s="52" t="str">
        <f>завтрак!C47</f>
        <v>кг</v>
      </c>
      <c r="D47" s="79">
        <f>завтрак!D47</f>
        <v>213</v>
      </c>
      <c r="E47" s="238"/>
      <c r="F47" s="50">
        <f t="shared" si="2"/>
        <v>0</v>
      </c>
      <c r="G47" s="238"/>
      <c r="H47" s="50">
        <f t="shared" si="3"/>
        <v>0</v>
      </c>
      <c r="I47" s="238"/>
      <c r="J47" s="50">
        <f t="shared" si="4"/>
        <v>0</v>
      </c>
      <c r="K47" s="238"/>
      <c r="L47" s="50">
        <f t="shared" si="5"/>
        <v>0</v>
      </c>
      <c r="M47" s="244"/>
      <c r="N47" s="50">
        <f t="shared" si="6"/>
        <v>0</v>
      </c>
      <c r="O47" s="238"/>
      <c r="P47" s="50">
        <f t="shared" si="7"/>
        <v>0</v>
      </c>
      <c r="Q47" s="238"/>
      <c r="R47" s="50">
        <f t="shared" si="8"/>
        <v>0</v>
      </c>
      <c r="S47" s="238">
        <v>24</v>
      </c>
      <c r="T47" s="50">
        <f t="shared" si="9"/>
        <v>5.11</v>
      </c>
      <c r="U47" s="238"/>
      <c r="V47" s="50">
        <f t="shared" si="10"/>
        <v>0</v>
      </c>
      <c r="W47" s="244"/>
      <c r="X47" s="50">
        <f t="shared" si="11"/>
        <v>0</v>
      </c>
      <c r="Y47" s="57">
        <f t="shared" si="0"/>
        <v>24</v>
      </c>
      <c r="Z47" s="50">
        <f t="shared" si="12"/>
        <v>5.11</v>
      </c>
      <c r="AA47" s="96">
        <f t="shared" si="1"/>
        <v>96</v>
      </c>
      <c r="AB47" s="96"/>
      <c r="AC47" s="49">
        <f>(Y47+завтрак!Y47)/10</f>
        <v>2.4</v>
      </c>
    </row>
    <row r="48" spans="1:29" ht="15">
      <c r="A48" s="53">
        <v>46</v>
      </c>
      <c r="B48" s="51" t="str">
        <f>завтрак!B48</f>
        <v>Кофейный напиток (ячменный)</v>
      </c>
      <c r="C48" s="52" t="str">
        <f>завтрак!C48</f>
        <v>кг</v>
      </c>
      <c r="D48" s="79">
        <f>завтрак!D48</f>
        <v>480</v>
      </c>
      <c r="E48" s="238"/>
      <c r="F48" s="50">
        <f t="shared" si="2"/>
        <v>0</v>
      </c>
      <c r="G48" s="238"/>
      <c r="H48" s="50">
        <f t="shared" si="3"/>
        <v>0</v>
      </c>
      <c r="I48" s="238"/>
      <c r="J48" s="50">
        <f t="shared" si="4"/>
        <v>0</v>
      </c>
      <c r="K48" s="238"/>
      <c r="L48" s="50">
        <f t="shared" si="5"/>
        <v>0</v>
      </c>
      <c r="M48" s="244"/>
      <c r="N48" s="50">
        <f t="shared" si="6"/>
        <v>0</v>
      </c>
      <c r="O48" s="238"/>
      <c r="P48" s="50">
        <f t="shared" si="7"/>
        <v>0</v>
      </c>
      <c r="Q48" s="238"/>
      <c r="R48" s="50">
        <f t="shared" si="8"/>
        <v>0</v>
      </c>
      <c r="S48" s="238"/>
      <c r="T48" s="50">
        <f t="shared" si="9"/>
        <v>0</v>
      </c>
      <c r="U48" s="238"/>
      <c r="V48" s="50">
        <f t="shared" si="10"/>
        <v>0</v>
      </c>
      <c r="W48" s="244"/>
      <c r="X48" s="50">
        <f t="shared" si="11"/>
        <v>0</v>
      </c>
      <c r="Y48" s="57">
        <f t="shared" si="0"/>
        <v>0</v>
      </c>
      <c r="Z48" s="50">
        <f t="shared" si="12"/>
        <v>0</v>
      </c>
      <c r="AA48" s="96">
        <f t="shared" si="1"/>
        <v>0</v>
      </c>
      <c r="AB48" s="96"/>
      <c r="AC48" s="49">
        <f>(Y48+завтрак!Y48)/10</f>
        <v>0.5</v>
      </c>
    </row>
    <row r="49" spans="1:29" ht="15">
      <c r="A49" s="53">
        <v>47</v>
      </c>
      <c r="B49" s="51" t="str">
        <f>завтрак!B49</f>
        <v>Какао порошок</v>
      </c>
      <c r="C49" s="52" t="str">
        <f>завтрак!C49</f>
        <v>кг</v>
      </c>
      <c r="D49" s="79">
        <f>завтрак!D49</f>
        <v>400</v>
      </c>
      <c r="E49" s="238"/>
      <c r="F49" s="50">
        <f t="shared" si="2"/>
        <v>0</v>
      </c>
      <c r="G49" s="238"/>
      <c r="H49" s="50">
        <f t="shared" si="3"/>
        <v>0</v>
      </c>
      <c r="I49" s="238"/>
      <c r="J49" s="50">
        <f t="shared" si="4"/>
        <v>0</v>
      </c>
      <c r="K49" s="238"/>
      <c r="L49" s="50">
        <f t="shared" si="5"/>
        <v>0</v>
      </c>
      <c r="M49" s="244"/>
      <c r="N49" s="50">
        <f t="shared" si="6"/>
        <v>0</v>
      </c>
      <c r="O49" s="238"/>
      <c r="P49" s="50">
        <f t="shared" si="7"/>
        <v>0</v>
      </c>
      <c r="Q49" s="238"/>
      <c r="R49" s="50">
        <f t="shared" si="8"/>
        <v>0</v>
      </c>
      <c r="S49" s="238"/>
      <c r="T49" s="50">
        <f t="shared" si="9"/>
        <v>0</v>
      </c>
      <c r="U49" s="238"/>
      <c r="V49" s="50">
        <f t="shared" si="10"/>
        <v>0</v>
      </c>
      <c r="W49" s="244"/>
      <c r="X49" s="50">
        <f t="shared" si="11"/>
        <v>0</v>
      </c>
      <c r="Y49" s="57">
        <f t="shared" si="0"/>
        <v>0</v>
      </c>
      <c r="Z49" s="50">
        <f t="shared" si="12"/>
        <v>0</v>
      </c>
      <c r="AA49" s="96">
        <f t="shared" si="1"/>
        <v>0</v>
      </c>
      <c r="AB49" s="96"/>
      <c r="AC49" s="49">
        <f>(Y49+завтрак!Y49)/10</f>
        <v>0.6</v>
      </c>
    </row>
    <row r="50" spans="1:29" ht="15">
      <c r="A50" s="53">
        <v>48</v>
      </c>
      <c r="B50" s="51" t="str">
        <f>завтрак!B50</f>
        <v>Чай черный (1 сорт)</v>
      </c>
      <c r="C50" s="52" t="str">
        <f>завтрак!C50</f>
        <v>кг</v>
      </c>
      <c r="D50" s="79">
        <f>завтрак!D50</f>
        <v>507</v>
      </c>
      <c r="E50" s="238"/>
      <c r="F50" s="50">
        <f t="shared" si="2"/>
        <v>0</v>
      </c>
      <c r="G50" s="238"/>
      <c r="H50" s="50">
        <f t="shared" si="3"/>
        <v>0</v>
      </c>
      <c r="I50" s="238"/>
      <c r="J50" s="50">
        <f t="shared" si="4"/>
        <v>0</v>
      </c>
      <c r="K50" s="238"/>
      <c r="L50" s="50">
        <f t="shared" si="5"/>
        <v>0</v>
      </c>
      <c r="M50" s="244"/>
      <c r="N50" s="50">
        <f t="shared" si="6"/>
        <v>0</v>
      </c>
      <c r="O50" s="238"/>
      <c r="P50" s="50">
        <f t="shared" si="7"/>
        <v>0</v>
      </c>
      <c r="Q50" s="238"/>
      <c r="R50" s="50">
        <f t="shared" si="8"/>
        <v>0</v>
      </c>
      <c r="S50" s="238"/>
      <c r="T50" s="50">
        <f t="shared" si="9"/>
        <v>0</v>
      </c>
      <c r="U50" s="238"/>
      <c r="V50" s="50">
        <f t="shared" si="10"/>
        <v>0</v>
      </c>
      <c r="W50" s="244"/>
      <c r="X50" s="50">
        <f t="shared" si="11"/>
        <v>0</v>
      </c>
      <c r="Y50" s="57">
        <f t="shared" si="0"/>
        <v>0</v>
      </c>
      <c r="Z50" s="50">
        <f t="shared" si="12"/>
        <v>0</v>
      </c>
      <c r="AA50" s="96">
        <f t="shared" si="1"/>
        <v>0</v>
      </c>
      <c r="AB50" s="96"/>
      <c r="AC50" s="49">
        <f>(Y50+завтрак!Y50)/10</f>
        <v>0.5</v>
      </c>
    </row>
    <row r="51" spans="1:29" ht="15">
      <c r="A51" s="53">
        <v>49</v>
      </c>
      <c r="B51" s="51" t="str">
        <f>завтрак!B51</f>
        <v>Лавровый лист</v>
      </c>
      <c r="C51" s="52" t="str">
        <f>завтрак!C51</f>
        <v>кг</v>
      </c>
      <c r="D51" s="79">
        <f>завтрак!D51</f>
        <v>483</v>
      </c>
      <c r="E51" s="238">
        <v>0.02</v>
      </c>
      <c r="F51" s="50">
        <f t="shared" si="2"/>
        <v>0.01</v>
      </c>
      <c r="G51" s="238">
        <v>0.02</v>
      </c>
      <c r="H51" s="50">
        <f t="shared" si="3"/>
        <v>0.01</v>
      </c>
      <c r="I51" s="238">
        <v>0.02</v>
      </c>
      <c r="J51" s="50">
        <f t="shared" si="4"/>
        <v>0.01</v>
      </c>
      <c r="K51" s="238">
        <v>0.02</v>
      </c>
      <c r="L51" s="50">
        <f t="shared" si="5"/>
        <v>0.01</v>
      </c>
      <c r="M51" s="244">
        <v>0.02</v>
      </c>
      <c r="N51" s="50">
        <f t="shared" si="6"/>
        <v>0.01</v>
      </c>
      <c r="O51" s="238">
        <v>0.02</v>
      </c>
      <c r="P51" s="50">
        <f t="shared" si="7"/>
        <v>0.01</v>
      </c>
      <c r="Q51" s="238">
        <v>0.02</v>
      </c>
      <c r="R51" s="50">
        <f t="shared" si="8"/>
        <v>0.01</v>
      </c>
      <c r="S51" s="238">
        <v>0.02</v>
      </c>
      <c r="T51" s="50">
        <f t="shared" si="9"/>
        <v>0.01</v>
      </c>
      <c r="U51" s="238">
        <v>0.02</v>
      </c>
      <c r="V51" s="50">
        <f t="shared" si="10"/>
        <v>0.01</v>
      </c>
      <c r="W51" s="244">
        <v>0.02</v>
      </c>
      <c r="X51" s="50">
        <f t="shared" si="11"/>
        <v>0.01</v>
      </c>
      <c r="Y51" s="57">
        <f t="shared" si="0"/>
        <v>0.2</v>
      </c>
      <c r="Z51" s="50">
        <f t="shared" si="12"/>
        <v>0.1</v>
      </c>
      <c r="AA51" s="96">
        <f t="shared" si="1"/>
        <v>0.8</v>
      </c>
      <c r="AB51" s="96"/>
      <c r="AC51" s="49">
        <f>(Y51+завтрак!Y51)/10</f>
        <v>0.02</v>
      </c>
    </row>
    <row r="52" spans="1:29" ht="15">
      <c r="A52" s="53">
        <v>50</v>
      </c>
      <c r="B52" s="51" t="str">
        <f>завтрак!B52</f>
        <v>Хлеб "Городской новый"</v>
      </c>
      <c r="C52" s="52" t="str">
        <f>завтрак!C52</f>
        <v>кг</v>
      </c>
      <c r="D52" s="79">
        <f>завтрак!D52</f>
        <v>48</v>
      </c>
      <c r="E52" s="238">
        <v>50</v>
      </c>
      <c r="F52" s="50">
        <f t="shared" si="2"/>
        <v>2.4</v>
      </c>
      <c r="G52" s="238">
        <v>50</v>
      </c>
      <c r="H52" s="50">
        <f t="shared" si="3"/>
        <v>2.4</v>
      </c>
      <c r="I52" s="238">
        <v>50</v>
      </c>
      <c r="J52" s="50">
        <f t="shared" si="4"/>
        <v>2.4</v>
      </c>
      <c r="K52" s="238">
        <f>8+50</f>
        <v>58</v>
      </c>
      <c r="L52" s="50">
        <f t="shared" si="5"/>
        <v>2.78</v>
      </c>
      <c r="M52" s="244">
        <f>13+50</f>
        <v>63</v>
      </c>
      <c r="N52" s="50">
        <f t="shared" si="6"/>
        <v>3.02</v>
      </c>
      <c r="O52" s="238">
        <f>13+12+50</f>
        <v>75</v>
      </c>
      <c r="P52" s="50">
        <f t="shared" si="7"/>
        <v>3.6</v>
      </c>
      <c r="Q52" s="238">
        <v>50</v>
      </c>
      <c r="R52" s="50">
        <f t="shared" si="8"/>
        <v>2.4</v>
      </c>
      <c r="S52" s="238">
        <f>12+50</f>
        <v>62</v>
      </c>
      <c r="T52" s="50">
        <f t="shared" si="9"/>
        <v>2.98</v>
      </c>
      <c r="U52" s="238">
        <f>11+12+50</f>
        <v>73</v>
      </c>
      <c r="V52" s="50">
        <f t="shared" si="10"/>
        <v>3.5</v>
      </c>
      <c r="W52" s="244">
        <v>50</v>
      </c>
      <c r="X52" s="50">
        <f t="shared" si="11"/>
        <v>2.4</v>
      </c>
      <c r="Y52" s="57">
        <f t="shared" si="0"/>
        <v>581</v>
      </c>
      <c r="Z52" s="50">
        <f t="shared" si="12"/>
        <v>27.89</v>
      </c>
      <c r="AA52" s="96">
        <f t="shared" si="1"/>
        <v>2324</v>
      </c>
      <c r="AB52" s="96"/>
      <c r="AC52" s="49">
        <f>(Y52+завтрак!Y52)/10</f>
        <v>99</v>
      </c>
    </row>
    <row r="53" spans="1:29" ht="15">
      <c r="A53" s="53">
        <v>51</v>
      </c>
      <c r="B53" s="51" t="str">
        <f>завтрак!B53</f>
        <v>Пряник 1 сорт</v>
      </c>
      <c r="C53" s="52" t="str">
        <f>завтрак!C53</f>
        <v>кг</v>
      </c>
      <c r="D53" s="79">
        <f>завтрак!D53</f>
        <v>157</v>
      </c>
      <c r="E53" s="238"/>
      <c r="F53" s="50">
        <f t="shared" si="2"/>
        <v>0</v>
      </c>
      <c r="G53" s="238">
        <v>20</v>
      </c>
      <c r="H53" s="50">
        <f t="shared" si="3"/>
        <v>3.14</v>
      </c>
      <c r="I53" s="238"/>
      <c r="J53" s="50">
        <f t="shared" si="4"/>
        <v>0</v>
      </c>
      <c r="K53" s="238"/>
      <c r="L53" s="50">
        <f t="shared" si="5"/>
        <v>0</v>
      </c>
      <c r="M53" s="244"/>
      <c r="N53" s="50">
        <f t="shared" si="6"/>
        <v>0</v>
      </c>
      <c r="O53" s="238"/>
      <c r="P53" s="50">
        <f t="shared" si="7"/>
        <v>0</v>
      </c>
      <c r="Q53" s="238"/>
      <c r="R53" s="50">
        <f t="shared" si="8"/>
        <v>0</v>
      </c>
      <c r="S53" s="238"/>
      <c r="T53" s="50">
        <f t="shared" si="9"/>
        <v>0</v>
      </c>
      <c r="U53" s="238"/>
      <c r="V53" s="50">
        <f t="shared" si="10"/>
        <v>0</v>
      </c>
      <c r="W53" s="244"/>
      <c r="X53" s="50">
        <f t="shared" si="11"/>
        <v>0</v>
      </c>
      <c r="Y53" s="57">
        <f t="shared" si="0"/>
        <v>20</v>
      </c>
      <c r="Z53" s="50">
        <f t="shared" si="12"/>
        <v>3.14</v>
      </c>
      <c r="AA53" s="96">
        <f t="shared" si="1"/>
        <v>80</v>
      </c>
      <c r="AB53" s="96"/>
      <c r="AC53" s="49">
        <f>(Y53+завтрак!Y53)/10</f>
        <v>10</v>
      </c>
    </row>
    <row r="54" spans="1:29" ht="15">
      <c r="A54" s="53">
        <v>52</v>
      </c>
      <c r="B54" s="51" t="str">
        <f>завтрак!B54</f>
        <v>Печенье в ассортименте</v>
      </c>
      <c r="C54" s="52" t="str">
        <f>завтрак!C54</f>
        <v>кг</v>
      </c>
      <c r="D54" s="79">
        <f>завтрак!D54</f>
        <v>153</v>
      </c>
      <c r="E54" s="238"/>
      <c r="F54" s="50">
        <f t="shared" si="2"/>
        <v>0</v>
      </c>
      <c r="G54" s="238"/>
      <c r="H54" s="50">
        <f t="shared" si="3"/>
        <v>0</v>
      </c>
      <c r="I54" s="238"/>
      <c r="J54" s="50">
        <f t="shared" si="4"/>
        <v>0</v>
      </c>
      <c r="K54" s="238">
        <v>25</v>
      </c>
      <c r="L54" s="50">
        <f t="shared" si="5"/>
        <v>3.83</v>
      </c>
      <c r="M54" s="244"/>
      <c r="N54" s="50">
        <f t="shared" si="6"/>
        <v>0</v>
      </c>
      <c r="O54" s="238"/>
      <c r="P54" s="50">
        <f t="shared" si="7"/>
        <v>0</v>
      </c>
      <c r="Q54" s="238"/>
      <c r="R54" s="50">
        <f t="shared" si="8"/>
        <v>0</v>
      </c>
      <c r="S54" s="238"/>
      <c r="T54" s="50">
        <f t="shared" si="9"/>
        <v>0</v>
      </c>
      <c r="U54" s="238">
        <v>25</v>
      </c>
      <c r="V54" s="50">
        <f t="shared" si="10"/>
        <v>3.83</v>
      </c>
      <c r="W54" s="244"/>
      <c r="X54" s="50">
        <f t="shared" si="11"/>
        <v>0</v>
      </c>
      <c r="Y54" s="57">
        <f t="shared" si="0"/>
        <v>50</v>
      </c>
      <c r="Z54" s="50">
        <f t="shared" si="12"/>
        <v>7.65</v>
      </c>
      <c r="AA54" s="96">
        <f t="shared" si="1"/>
        <v>200</v>
      </c>
      <c r="AB54" s="96"/>
      <c r="AC54" s="49">
        <f>(Y54+завтрак!Y54)/10</f>
        <v>12.5</v>
      </c>
    </row>
    <row r="55" spans="1:28" ht="15.75">
      <c r="A55" s="54"/>
      <c r="B55" s="55" t="s">
        <v>63</v>
      </c>
      <c r="C55" s="52"/>
      <c r="D55" s="50"/>
      <c r="E55" s="238"/>
      <c r="F55" s="112">
        <f>SUM(F3:F54)</f>
        <v>68.47</v>
      </c>
      <c r="G55" s="238"/>
      <c r="H55" s="112">
        <f>SUM(H3:H54)</f>
        <v>68.47</v>
      </c>
      <c r="I55" s="238"/>
      <c r="J55" s="112">
        <f>SUM(J3:J54)</f>
        <v>68.47</v>
      </c>
      <c r="K55" s="238"/>
      <c r="L55" s="112">
        <f>SUM(L3:L54)</f>
        <v>68.47</v>
      </c>
      <c r="M55" s="244"/>
      <c r="N55" s="112">
        <f>SUM(N3:N54)</f>
        <v>68.47</v>
      </c>
      <c r="O55" s="238"/>
      <c r="P55" s="112">
        <f>SUM(P3:P54)</f>
        <v>68.47</v>
      </c>
      <c r="Q55" s="238"/>
      <c r="R55" s="112">
        <f>SUM(R3:R54)</f>
        <v>68.47</v>
      </c>
      <c r="S55" s="238"/>
      <c r="T55" s="112">
        <f>SUM(T3:T54)</f>
        <v>68.47</v>
      </c>
      <c r="U55" s="238"/>
      <c r="V55" s="112">
        <f>SUM(V3:V54)</f>
        <v>68.47</v>
      </c>
      <c r="W55" s="244"/>
      <c r="X55" s="112">
        <f>SUM(X3:X54)</f>
        <v>68.47</v>
      </c>
      <c r="Y55" s="57">
        <f t="shared" si="0"/>
        <v>0</v>
      </c>
      <c r="Z55" s="50">
        <f t="shared" si="12"/>
        <v>0</v>
      </c>
      <c r="AA55" s="96"/>
      <c r="AB55" s="96"/>
    </row>
    <row r="56" spans="1:28" ht="12.75">
      <c r="A56" s="50"/>
      <c r="B56" s="50"/>
      <c r="C56" s="50"/>
      <c r="D56" s="50"/>
      <c r="E56" s="238"/>
      <c r="F56" s="50"/>
      <c r="G56" s="238"/>
      <c r="H56" s="50"/>
      <c r="I56" s="238"/>
      <c r="J56" s="50"/>
      <c r="K56" s="238"/>
      <c r="L56" s="50"/>
      <c r="M56" s="244"/>
      <c r="N56" s="50"/>
      <c r="O56" s="238"/>
      <c r="P56" s="50"/>
      <c r="Q56" s="238"/>
      <c r="R56" s="50"/>
      <c r="S56" s="238"/>
      <c r="T56" s="50"/>
      <c r="U56" s="238"/>
      <c r="V56" s="50"/>
      <c r="W56" s="244"/>
      <c r="X56" s="50"/>
      <c r="Y56" s="57"/>
      <c r="Z56" s="50">
        <f>SUM(Z3:Z55)</f>
        <v>684.67</v>
      </c>
      <c r="AA56" s="96"/>
      <c r="AB56" s="96"/>
    </row>
    <row r="57" spans="27:28" ht="12.75">
      <c r="AA57" s="68"/>
      <c r="AB57" s="68"/>
    </row>
    <row r="58" spans="27:28" ht="12.75">
      <c r="AA58" s="68"/>
      <c r="AB58" s="68"/>
    </row>
    <row r="59" spans="27:28" ht="12.75">
      <c r="AA59" s="68"/>
      <c r="AB59" s="68"/>
    </row>
    <row r="60" spans="27:28" ht="12.75">
      <c r="AA60" s="68"/>
      <c r="AB60" s="68"/>
    </row>
    <row r="61" spans="27:28" ht="12.75">
      <c r="AA61" s="68"/>
      <c r="AB61" s="68"/>
    </row>
    <row r="62" spans="27:28" ht="12.75">
      <c r="AA62" s="68"/>
      <c r="AB62" s="68"/>
    </row>
    <row r="63" spans="27:28" ht="12.75">
      <c r="AA63" s="68"/>
      <c r="AB63" s="68"/>
    </row>
    <row r="64" spans="27:28" ht="12.75">
      <c r="AA64" s="68"/>
      <c r="AB64" s="68"/>
    </row>
    <row r="65" spans="27:28" ht="12.75">
      <c r="AA65" s="68"/>
      <c r="AB65" s="68"/>
    </row>
    <row r="66" spans="27:28" ht="12.75">
      <c r="AA66" s="68"/>
      <c r="AB66" s="68"/>
    </row>
    <row r="67" spans="27:28" ht="12.75">
      <c r="AA67" s="68"/>
      <c r="AB67" s="68"/>
    </row>
    <row r="68" spans="27:28" ht="12.75">
      <c r="AA68" s="68"/>
      <c r="AB68" s="68"/>
    </row>
    <row r="69" spans="27:28" ht="12.75">
      <c r="AA69" s="68"/>
      <c r="AB69" s="68"/>
    </row>
    <row r="70" spans="27:28" ht="12.75">
      <c r="AA70" s="68"/>
      <c r="AB70" s="68"/>
    </row>
    <row r="71" spans="27:28" ht="12.75">
      <c r="AA71" s="68"/>
      <c r="AB71" s="68"/>
    </row>
    <row r="78" ht="12.75">
      <c r="B78" s="8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Q62"/>
  <sheetViews>
    <sheetView zoomScalePageLayoutView="0" workbookViewId="0" topLeftCell="A1">
      <selection activeCell="A1" sqref="A1:P1"/>
    </sheetView>
  </sheetViews>
  <sheetFormatPr defaultColWidth="9.00390625" defaultRowHeight="12.75"/>
  <cols>
    <col min="1" max="1" width="3.625" style="0" customWidth="1"/>
    <col min="2" max="2" width="37.125" style="0" customWidth="1"/>
    <col min="3" max="3" width="4.875" style="0" bestFit="1" customWidth="1"/>
    <col min="4" max="4" width="7.625" style="0" customWidth="1"/>
    <col min="5" max="5" width="8.125" style="0" customWidth="1"/>
    <col min="6" max="6" width="9.625" style="0" customWidth="1"/>
    <col min="7" max="7" width="9.375" style="0" customWidth="1"/>
    <col min="8" max="8" width="7.875" style="0" customWidth="1"/>
    <col min="9" max="9" width="9.00390625" style="0" customWidth="1"/>
    <col min="10" max="10" width="8.25390625" style="0" customWidth="1"/>
    <col min="11" max="11" width="8.125" style="0" customWidth="1"/>
    <col min="12" max="12" width="10.375" style="0" customWidth="1"/>
    <col min="13" max="13" width="9.00390625" style="0" customWidth="1"/>
    <col min="14" max="14" width="9.625" style="0" customWidth="1"/>
    <col min="15" max="15" width="11.125" style="0" customWidth="1"/>
    <col min="16" max="16" width="9.375" style="0" customWidth="1"/>
    <col min="17" max="17" width="10.125" style="0" customWidth="1"/>
  </cols>
  <sheetData>
    <row r="1" spans="1:16" ht="14.25">
      <c r="A1" s="262" t="s">
        <v>192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1"/>
    </row>
    <row r="2" spans="1:15" ht="14.25">
      <c r="A2" s="81"/>
      <c r="B2" s="81"/>
      <c r="C2" s="81"/>
      <c r="D2" s="81"/>
      <c r="E2" s="81"/>
      <c r="F2" s="81"/>
      <c r="G2" s="81"/>
      <c r="H2" s="97"/>
      <c r="I2" s="81"/>
      <c r="J2" s="81"/>
      <c r="K2" s="81"/>
      <c r="L2" s="81"/>
      <c r="M2" s="81"/>
      <c r="N2" s="81"/>
      <c r="O2" s="81"/>
    </row>
    <row r="3" spans="1:17" ht="30">
      <c r="A3" s="82" t="s">
        <v>3</v>
      </c>
      <c r="B3" s="82" t="s">
        <v>52</v>
      </c>
      <c r="C3" s="82" t="s">
        <v>58</v>
      </c>
      <c r="D3" s="82" t="s">
        <v>53</v>
      </c>
      <c r="E3" s="82" t="s">
        <v>122</v>
      </c>
      <c r="F3" s="129" t="s">
        <v>60</v>
      </c>
      <c r="G3" s="129" t="s">
        <v>59</v>
      </c>
      <c r="H3" s="82" t="s">
        <v>123</v>
      </c>
      <c r="I3" s="129" t="s">
        <v>60</v>
      </c>
      <c r="J3" s="129" t="s">
        <v>124</v>
      </c>
      <c r="K3" s="129" t="s">
        <v>61</v>
      </c>
      <c r="L3" s="82" t="s">
        <v>54</v>
      </c>
      <c r="M3" s="82" t="s">
        <v>67</v>
      </c>
      <c r="N3" s="82" t="s">
        <v>62</v>
      </c>
      <c r="O3" s="82" t="s">
        <v>54</v>
      </c>
      <c r="P3" s="98" t="s">
        <v>62</v>
      </c>
      <c r="Q3" s="99" t="s">
        <v>54</v>
      </c>
    </row>
    <row r="4" spans="1:17" ht="15">
      <c r="A4" s="83">
        <f>завтрак!A3</f>
        <v>1</v>
      </c>
      <c r="B4" s="84" t="str">
        <f>обед!B3</f>
        <v>Яйцо (1 сорт)</v>
      </c>
      <c r="C4" s="85" t="str">
        <f>обед!C3</f>
        <v>шт</v>
      </c>
      <c r="D4" s="108">
        <f>обед!D3</f>
        <v>9.5</v>
      </c>
      <c r="E4" s="91">
        <f>завтрак!AA3</f>
        <v>9.16</v>
      </c>
      <c r="F4" s="88"/>
      <c r="G4" s="88">
        <f>E4*F4</f>
        <v>0</v>
      </c>
      <c r="H4" s="130">
        <f>обед!AA3</f>
        <v>3.08</v>
      </c>
      <c r="I4" s="88"/>
      <c r="J4" s="88">
        <f>H4*I4</f>
        <v>0</v>
      </c>
      <c r="K4" s="88">
        <f>G4+J4</f>
        <v>0</v>
      </c>
      <c r="L4" s="89">
        <f aca="true" t="shared" si="0" ref="L4:L35">D4*K4</f>
        <v>0</v>
      </c>
      <c r="M4" s="89"/>
      <c r="N4" s="90">
        <f aca="true" t="shared" si="1" ref="N4:N55">K4-M4</f>
        <v>0</v>
      </c>
      <c r="O4" s="89">
        <f aca="true" t="shared" si="2" ref="O4:O35">N4*D4</f>
        <v>0</v>
      </c>
      <c r="P4" s="138">
        <f>N4</f>
        <v>0</v>
      </c>
      <c r="Q4" s="100">
        <f aca="true" t="shared" si="3" ref="Q4:Q35">P4*D4</f>
        <v>0</v>
      </c>
    </row>
    <row r="5" spans="1:17" ht="15">
      <c r="A5" s="83">
        <f>завтрак!A4</f>
        <v>2</v>
      </c>
      <c r="B5" s="84" t="str">
        <f>обед!B4</f>
        <v>Мясо говядины без кости (1категории)</v>
      </c>
      <c r="C5" s="85" t="str">
        <f>обед!C4</f>
        <v>кг</v>
      </c>
      <c r="D5" s="131">
        <f>обед!D4</f>
        <v>607</v>
      </c>
      <c r="E5" s="91">
        <f>завтрак!AA4</f>
        <v>828</v>
      </c>
      <c r="F5" s="88"/>
      <c r="G5" s="88">
        <f>E5*F5/1000</f>
        <v>0</v>
      </c>
      <c r="H5" s="130">
        <f>обед!AA4</f>
        <v>1196</v>
      </c>
      <c r="I5" s="88"/>
      <c r="J5" s="88">
        <f>H5*I5/1000</f>
        <v>0</v>
      </c>
      <c r="K5" s="88">
        <f aca="true" t="shared" si="4" ref="K5:K55">G5+J5</f>
        <v>0</v>
      </c>
      <c r="L5" s="89">
        <f t="shared" si="0"/>
        <v>0</v>
      </c>
      <c r="M5" s="89"/>
      <c r="N5" s="90">
        <f t="shared" si="1"/>
        <v>0</v>
      </c>
      <c r="O5" s="89">
        <f t="shared" si="2"/>
        <v>0</v>
      </c>
      <c r="P5" s="138">
        <f aca="true" t="shared" si="5" ref="P5:P55">N5</f>
        <v>0</v>
      </c>
      <c r="Q5" s="100">
        <f t="shared" si="3"/>
        <v>0</v>
      </c>
    </row>
    <row r="6" spans="1:17" ht="15">
      <c r="A6" s="83">
        <f>завтрак!A5</f>
        <v>3</v>
      </c>
      <c r="B6" s="84" t="str">
        <f>обед!B5</f>
        <v>Мясо птицы (1 категории)</v>
      </c>
      <c r="C6" s="85" t="str">
        <f>обед!C5</f>
        <v>кг</v>
      </c>
      <c r="D6" s="131">
        <f>обед!D5</f>
        <v>257</v>
      </c>
      <c r="E6" s="91">
        <f>завтрак!AA5</f>
        <v>696</v>
      </c>
      <c r="F6" s="88"/>
      <c r="G6" s="88">
        <f aca="true" t="shared" si="6" ref="G6:G55">E6*F6/1000</f>
        <v>0</v>
      </c>
      <c r="H6" s="130">
        <f>обед!AA5</f>
        <v>1328</v>
      </c>
      <c r="I6" s="88"/>
      <c r="J6" s="88">
        <f aca="true" t="shared" si="7" ref="J6:J55">H6*I6/1000</f>
        <v>0</v>
      </c>
      <c r="K6" s="88">
        <f t="shared" si="4"/>
        <v>0</v>
      </c>
      <c r="L6" s="89">
        <f t="shared" si="0"/>
        <v>0</v>
      </c>
      <c r="M6" s="89"/>
      <c r="N6" s="90">
        <f t="shared" si="1"/>
        <v>0</v>
      </c>
      <c r="O6" s="89">
        <f t="shared" si="2"/>
        <v>0</v>
      </c>
      <c r="P6" s="138">
        <f t="shared" si="5"/>
        <v>0</v>
      </c>
      <c r="Q6" s="100">
        <f t="shared" si="3"/>
        <v>0</v>
      </c>
    </row>
    <row r="7" spans="1:17" ht="15">
      <c r="A7" s="83">
        <f>завтрак!A6</f>
        <v>4</v>
      </c>
      <c r="B7" s="84">
        <f>обед!B6</f>
        <v>0</v>
      </c>
      <c r="C7" s="85">
        <f>обед!C6</f>
        <v>0</v>
      </c>
      <c r="D7" s="131">
        <f>обед!D6</f>
        <v>0</v>
      </c>
      <c r="E7" s="91">
        <f>завтрак!AA6</f>
        <v>0</v>
      </c>
      <c r="F7" s="88"/>
      <c r="G7" s="88">
        <f t="shared" si="6"/>
        <v>0</v>
      </c>
      <c r="H7" s="130">
        <f>обед!AA6</f>
        <v>0</v>
      </c>
      <c r="I7" s="88"/>
      <c r="J7" s="88">
        <f t="shared" si="7"/>
        <v>0</v>
      </c>
      <c r="K7" s="88">
        <f t="shared" si="4"/>
        <v>0</v>
      </c>
      <c r="L7" s="89">
        <f t="shared" si="0"/>
        <v>0</v>
      </c>
      <c r="M7" s="89"/>
      <c r="N7" s="90">
        <f t="shared" si="1"/>
        <v>0</v>
      </c>
      <c r="O7" s="89">
        <f t="shared" si="2"/>
        <v>0</v>
      </c>
      <c r="P7" s="138">
        <f t="shared" si="5"/>
        <v>0</v>
      </c>
      <c r="Q7" s="100">
        <f t="shared" si="3"/>
        <v>0</v>
      </c>
    </row>
    <row r="8" spans="1:17" ht="15">
      <c r="A8" s="83">
        <f>завтрак!A7</f>
        <v>5</v>
      </c>
      <c r="B8" s="84">
        <f>обед!B7</f>
        <v>0</v>
      </c>
      <c r="C8" s="85">
        <f>обед!C7</f>
        <v>0</v>
      </c>
      <c r="D8" s="131">
        <f>обед!D7</f>
        <v>0</v>
      </c>
      <c r="E8" s="91">
        <f>завтрак!AA7</f>
        <v>0</v>
      </c>
      <c r="F8" s="88"/>
      <c r="G8" s="88">
        <f t="shared" si="6"/>
        <v>0</v>
      </c>
      <c r="H8" s="130">
        <f>обед!AA7</f>
        <v>0</v>
      </c>
      <c r="I8" s="88"/>
      <c r="J8" s="88">
        <f t="shared" si="7"/>
        <v>0</v>
      </c>
      <c r="K8" s="88">
        <f t="shared" si="4"/>
        <v>0</v>
      </c>
      <c r="L8" s="89">
        <f t="shared" si="0"/>
        <v>0</v>
      </c>
      <c r="M8" s="89"/>
      <c r="N8" s="90">
        <f t="shared" si="1"/>
        <v>0</v>
      </c>
      <c r="O8" s="89">
        <f t="shared" si="2"/>
        <v>0</v>
      </c>
      <c r="P8" s="138">
        <f t="shared" si="5"/>
        <v>0</v>
      </c>
      <c r="Q8" s="100">
        <f t="shared" si="3"/>
        <v>0</v>
      </c>
    </row>
    <row r="9" spans="1:17" ht="15">
      <c r="A9" s="83">
        <f>завтрак!A8</f>
        <v>6</v>
      </c>
      <c r="B9" s="84" t="str">
        <f>обед!B8</f>
        <v>Молоко пастеризованное (2,5%)</v>
      </c>
      <c r="C9" s="85" t="str">
        <f>обед!C8</f>
        <v>л</v>
      </c>
      <c r="D9" s="131">
        <f>обед!D8</f>
        <v>70</v>
      </c>
      <c r="E9" s="91">
        <f>завтрак!AA8</f>
        <v>3060</v>
      </c>
      <c r="F9" s="88"/>
      <c r="G9" s="88">
        <f t="shared" si="6"/>
        <v>0</v>
      </c>
      <c r="H9" s="130">
        <f>обед!AA8</f>
        <v>344</v>
      </c>
      <c r="I9" s="88"/>
      <c r="J9" s="88">
        <f t="shared" si="7"/>
        <v>0</v>
      </c>
      <c r="K9" s="88">
        <f t="shared" si="4"/>
        <v>0</v>
      </c>
      <c r="L9" s="89">
        <f t="shared" si="0"/>
        <v>0</v>
      </c>
      <c r="M9" s="89"/>
      <c r="N9" s="90">
        <f t="shared" si="1"/>
        <v>0</v>
      </c>
      <c r="O9" s="89">
        <f t="shared" si="2"/>
        <v>0</v>
      </c>
      <c r="P9" s="138">
        <f t="shared" si="5"/>
        <v>0</v>
      </c>
      <c r="Q9" s="100">
        <f t="shared" si="3"/>
        <v>0</v>
      </c>
    </row>
    <row r="10" spans="1:17" ht="15">
      <c r="A10" s="83">
        <f>завтрак!A9</f>
        <v>7</v>
      </c>
      <c r="B10" s="84" t="str">
        <f>обед!B9</f>
        <v>Масло сливочное (72,5%)</v>
      </c>
      <c r="C10" s="85" t="str">
        <f>обед!C9</f>
        <v>кг</v>
      </c>
      <c r="D10" s="131">
        <f>обед!D9</f>
        <v>490</v>
      </c>
      <c r="E10" s="91">
        <f>завтрак!AA9</f>
        <v>456</v>
      </c>
      <c r="F10" s="88"/>
      <c r="G10" s="88">
        <f t="shared" si="6"/>
        <v>0</v>
      </c>
      <c r="H10" s="130">
        <f>обед!AA9</f>
        <v>212</v>
      </c>
      <c r="I10" s="88"/>
      <c r="J10" s="88">
        <f t="shared" si="7"/>
        <v>0</v>
      </c>
      <c r="K10" s="88">
        <f t="shared" si="4"/>
        <v>0</v>
      </c>
      <c r="L10" s="89">
        <f t="shared" si="0"/>
        <v>0</v>
      </c>
      <c r="M10" s="89"/>
      <c r="N10" s="90">
        <f t="shared" si="1"/>
        <v>0</v>
      </c>
      <c r="O10" s="89">
        <f t="shared" si="2"/>
        <v>0</v>
      </c>
      <c r="P10" s="138">
        <f t="shared" si="5"/>
        <v>0</v>
      </c>
      <c r="Q10" s="100">
        <f t="shared" si="3"/>
        <v>0</v>
      </c>
    </row>
    <row r="11" spans="1:17" ht="15">
      <c r="A11" s="83">
        <f>завтрак!A10</f>
        <v>8</v>
      </c>
      <c r="B11" s="84" t="str">
        <f>обед!B10</f>
        <v>Сметана (15%)</v>
      </c>
      <c r="C11" s="85" t="str">
        <f>обед!C10</f>
        <v>кг</v>
      </c>
      <c r="D11" s="131">
        <f>обед!D10</f>
        <v>182</v>
      </c>
      <c r="E11" s="91">
        <f>завтрак!AA10</f>
        <v>368</v>
      </c>
      <c r="F11" s="88"/>
      <c r="G11" s="88">
        <f t="shared" si="6"/>
        <v>0</v>
      </c>
      <c r="H11" s="130">
        <f>обед!AA10</f>
        <v>524</v>
      </c>
      <c r="I11" s="88"/>
      <c r="J11" s="88">
        <f t="shared" si="7"/>
        <v>0</v>
      </c>
      <c r="K11" s="88">
        <f t="shared" si="4"/>
        <v>0</v>
      </c>
      <c r="L11" s="89">
        <f t="shared" si="0"/>
        <v>0</v>
      </c>
      <c r="M11" s="89"/>
      <c r="N11" s="90">
        <f t="shared" si="1"/>
        <v>0</v>
      </c>
      <c r="O11" s="89">
        <f t="shared" si="2"/>
        <v>0</v>
      </c>
      <c r="P11" s="138">
        <f t="shared" si="5"/>
        <v>0</v>
      </c>
      <c r="Q11" s="100">
        <f t="shared" si="3"/>
        <v>0</v>
      </c>
    </row>
    <row r="12" spans="1:17" ht="15">
      <c r="A12" s="83">
        <f>завтрак!A11</f>
        <v>9</v>
      </c>
      <c r="B12" s="84" t="str">
        <f>обед!B11</f>
        <v>Творог (5%)</v>
      </c>
      <c r="C12" s="85" t="str">
        <f>обед!C11</f>
        <v>кг</v>
      </c>
      <c r="D12" s="131">
        <f>обед!D11</f>
        <v>203</v>
      </c>
      <c r="E12" s="91">
        <f>завтрак!AA11</f>
        <v>574</v>
      </c>
      <c r="F12" s="88"/>
      <c r="G12" s="88">
        <f t="shared" si="6"/>
        <v>0</v>
      </c>
      <c r="H12" s="130">
        <f>обед!AA11</f>
        <v>0</v>
      </c>
      <c r="I12" s="88"/>
      <c r="J12" s="88">
        <f t="shared" si="7"/>
        <v>0</v>
      </c>
      <c r="K12" s="88">
        <f t="shared" si="4"/>
        <v>0</v>
      </c>
      <c r="L12" s="89">
        <f t="shared" si="0"/>
        <v>0</v>
      </c>
      <c r="M12" s="89"/>
      <c r="N12" s="90">
        <f t="shared" si="1"/>
        <v>0</v>
      </c>
      <c r="O12" s="89">
        <f t="shared" si="2"/>
        <v>0</v>
      </c>
      <c r="P12" s="138">
        <f t="shared" si="5"/>
        <v>0</v>
      </c>
      <c r="Q12" s="100">
        <f t="shared" si="3"/>
        <v>0</v>
      </c>
    </row>
    <row r="13" spans="1:17" ht="15">
      <c r="A13" s="83">
        <f>завтрак!A12</f>
        <v>10</v>
      </c>
      <c r="B13" s="84" t="str">
        <f>обед!B12</f>
        <v>Сыр твердый (45%)</v>
      </c>
      <c r="C13" s="85" t="str">
        <f>обед!C12</f>
        <v>кг</v>
      </c>
      <c r="D13" s="131">
        <f>обед!D12</f>
        <v>528</v>
      </c>
      <c r="E13" s="91">
        <f>завтрак!AA12</f>
        <v>298</v>
      </c>
      <c r="F13" s="88"/>
      <c r="G13" s="88">
        <f t="shared" si="6"/>
        <v>0</v>
      </c>
      <c r="H13" s="130">
        <f>обед!AA12</f>
        <v>0</v>
      </c>
      <c r="I13" s="88"/>
      <c r="J13" s="88">
        <f t="shared" si="7"/>
        <v>0</v>
      </c>
      <c r="K13" s="88">
        <f t="shared" si="4"/>
        <v>0</v>
      </c>
      <c r="L13" s="89">
        <f t="shared" si="0"/>
        <v>0</v>
      </c>
      <c r="M13" s="89"/>
      <c r="N13" s="90">
        <f t="shared" si="1"/>
        <v>0</v>
      </c>
      <c r="O13" s="89">
        <f t="shared" si="2"/>
        <v>0</v>
      </c>
      <c r="P13" s="138">
        <f t="shared" si="5"/>
        <v>0</v>
      </c>
      <c r="Q13" s="100">
        <f t="shared" si="3"/>
        <v>0</v>
      </c>
    </row>
    <row r="14" spans="1:17" ht="30">
      <c r="A14" s="83">
        <f>завтрак!A13</f>
        <v>11</v>
      </c>
      <c r="B14" s="84" t="str">
        <f>обед!B13</f>
        <v>Молоко сгущенное цельное с сахаром (8,5%)</v>
      </c>
      <c r="C14" s="85" t="str">
        <f>обед!C13</f>
        <v>кг</v>
      </c>
      <c r="D14" s="131">
        <f>обед!D13</f>
        <v>240</v>
      </c>
      <c r="E14" s="91">
        <f>завтрак!AA13</f>
        <v>120</v>
      </c>
      <c r="F14" s="88"/>
      <c r="G14" s="88">
        <f t="shared" si="6"/>
        <v>0</v>
      </c>
      <c r="H14" s="130">
        <f>обед!AA13</f>
        <v>0</v>
      </c>
      <c r="I14" s="88"/>
      <c r="J14" s="88">
        <f>H14*I14/1000</f>
        <v>0</v>
      </c>
      <c r="K14" s="88">
        <f t="shared" si="4"/>
        <v>0</v>
      </c>
      <c r="L14" s="89">
        <f t="shared" si="0"/>
        <v>0</v>
      </c>
      <c r="M14" s="89"/>
      <c r="N14" s="90">
        <f t="shared" si="1"/>
        <v>0</v>
      </c>
      <c r="O14" s="89">
        <f t="shared" si="2"/>
        <v>0</v>
      </c>
      <c r="P14" s="138">
        <f t="shared" si="5"/>
        <v>0</v>
      </c>
      <c r="Q14" s="100">
        <f t="shared" si="3"/>
        <v>0</v>
      </c>
    </row>
    <row r="15" spans="1:17" ht="15">
      <c r="A15" s="83">
        <f>завтрак!A14</f>
        <v>12</v>
      </c>
      <c r="B15" s="84" t="str">
        <f>обед!B14</f>
        <v>Картофель (1 сорт)</v>
      </c>
      <c r="C15" s="85" t="str">
        <f>обед!C14</f>
        <v>кг</v>
      </c>
      <c r="D15" s="131">
        <f>обед!D14</f>
        <v>57</v>
      </c>
      <c r="E15" s="91">
        <f>завтрак!AA14</f>
        <v>1628</v>
      </c>
      <c r="F15" s="88"/>
      <c r="G15" s="88">
        <f t="shared" si="6"/>
        <v>0</v>
      </c>
      <c r="H15" s="130">
        <f>обед!AA14</f>
        <v>5072</v>
      </c>
      <c r="I15" s="88"/>
      <c r="J15" s="88">
        <f t="shared" si="7"/>
        <v>0</v>
      </c>
      <c r="K15" s="88">
        <f t="shared" si="4"/>
        <v>0</v>
      </c>
      <c r="L15" s="89">
        <f t="shared" si="0"/>
        <v>0</v>
      </c>
      <c r="M15" s="89"/>
      <c r="N15" s="90">
        <f t="shared" si="1"/>
        <v>0</v>
      </c>
      <c r="O15" s="89">
        <f t="shared" si="2"/>
        <v>0</v>
      </c>
      <c r="P15" s="138">
        <f t="shared" si="5"/>
        <v>0</v>
      </c>
      <c r="Q15" s="100">
        <f t="shared" si="3"/>
        <v>0</v>
      </c>
    </row>
    <row r="16" spans="1:17" ht="15">
      <c r="A16" s="83">
        <f>завтрак!A15</f>
        <v>13</v>
      </c>
      <c r="B16" s="84" t="str">
        <f>обед!B15</f>
        <v>Капуста белокачанная (1 сорт)</v>
      </c>
      <c r="C16" s="85" t="str">
        <f>обед!C15</f>
        <v>кг</v>
      </c>
      <c r="D16" s="131">
        <f>обед!D15</f>
        <v>47</v>
      </c>
      <c r="E16" s="91">
        <f>завтрак!AA15</f>
        <v>0</v>
      </c>
      <c r="F16" s="88"/>
      <c r="G16" s="88">
        <f t="shared" si="6"/>
        <v>0</v>
      </c>
      <c r="H16" s="130">
        <f>обед!AA15</f>
        <v>172</v>
      </c>
      <c r="I16" s="88"/>
      <c r="J16" s="88">
        <f t="shared" si="7"/>
        <v>0</v>
      </c>
      <c r="K16" s="88">
        <f t="shared" si="4"/>
        <v>0</v>
      </c>
      <c r="L16" s="89">
        <f t="shared" si="0"/>
        <v>0</v>
      </c>
      <c r="M16" s="89"/>
      <c r="N16" s="90">
        <f t="shared" si="1"/>
        <v>0</v>
      </c>
      <c r="O16" s="89">
        <f t="shared" si="2"/>
        <v>0</v>
      </c>
      <c r="P16" s="138">
        <f t="shared" si="5"/>
        <v>0</v>
      </c>
      <c r="Q16" s="100">
        <f t="shared" si="3"/>
        <v>0</v>
      </c>
    </row>
    <row r="17" spans="1:17" ht="15">
      <c r="A17" s="83">
        <f>завтрак!A16</f>
        <v>14</v>
      </c>
      <c r="B17" s="84" t="str">
        <f>обед!B16</f>
        <v>Лук репчатый (1 сорт)</v>
      </c>
      <c r="C17" s="85" t="str">
        <f>обед!C16</f>
        <v>кг</v>
      </c>
      <c r="D17" s="131">
        <f>обед!D16</f>
        <v>46</v>
      </c>
      <c r="E17" s="91">
        <f>завтрак!AA16</f>
        <v>420</v>
      </c>
      <c r="F17" s="88"/>
      <c r="G17" s="88">
        <f t="shared" si="6"/>
        <v>0</v>
      </c>
      <c r="H17" s="130">
        <f>обед!AA16</f>
        <v>956</v>
      </c>
      <c r="I17" s="88"/>
      <c r="J17" s="88">
        <f t="shared" si="7"/>
        <v>0</v>
      </c>
      <c r="K17" s="88">
        <f t="shared" si="4"/>
        <v>0</v>
      </c>
      <c r="L17" s="89">
        <f t="shared" si="0"/>
        <v>0</v>
      </c>
      <c r="M17" s="89"/>
      <c r="N17" s="90">
        <f t="shared" si="1"/>
        <v>0</v>
      </c>
      <c r="O17" s="89">
        <f t="shared" si="2"/>
        <v>0</v>
      </c>
      <c r="P17" s="138">
        <f t="shared" si="5"/>
        <v>0</v>
      </c>
      <c r="Q17" s="100">
        <f t="shared" si="3"/>
        <v>0</v>
      </c>
    </row>
    <row r="18" spans="1:17" ht="15">
      <c r="A18" s="83">
        <f>завтрак!A17</f>
        <v>15</v>
      </c>
      <c r="B18" s="84" t="str">
        <f>обед!B17</f>
        <v>Морковь (1 сорт)</v>
      </c>
      <c r="C18" s="85" t="str">
        <f>обед!C17</f>
        <v>кг</v>
      </c>
      <c r="D18" s="131">
        <f>обед!D17</f>
        <v>66</v>
      </c>
      <c r="E18" s="91">
        <f>завтрак!AA17</f>
        <v>268</v>
      </c>
      <c r="F18" s="88"/>
      <c r="G18" s="88">
        <f t="shared" si="6"/>
        <v>0</v>
      </c>
      <c r="H18" s="130">
        <f>обед!AA17</f>
        <v>824</v>
      </c>
      <c r="I18" s="88"/>
      <c r="J18" s="88">
        <f t="shared" si="7"/>
        <v>0</v>
      </c>
      <c r="K18" s="88">
        <f t="shared" si="4"/>
        <v>0</v>
      </c>
      <c r="L18" s="89">
        <f t="shared" si="0"/>
        <v>0</v>
      </c>
      <c r="M18" s="89"/>
      <c r="N18" s="90">
        <f t="shared" si="1"/>
        <v>0</v>
      </c>
      <c r="O18" s="89">
        <f t="shared" si="2"/>
        <v>0</v>
      </c>
      <c r="P18" s="138">
        <f t="shared" si="5"/>
        <v>0</v>
      </c>
      <c r="Q18" s="100">
        <f t="shared" si="3"/>
        <v>0</v>
      </c>
    </row>
    <row r="19" spans="1:17" ht="15">
      <c r="A19" s="83">
        <f>завтрак!A18</f>
        <v>16</v>
      </c>
      <c r="B19" s="84" t="str">
        <f>обед!B18</f>
        <v>Свекла (1 сорт)</v>
      </c>
      <c r="C19" s="85" t="str">
        <f>обед!C18</f>
        <v>кг</v>
      </c>
      <c r="D19" s="131">
        <f>обед!D18</f>
        <v>45</v>
      </c>
      <c r="E19" s="91">
        <f>завтрак!AA18</f>
        <v>288</v>
      </c>
      <c r="F19" s="88"/>
      <c r="G19" s="88">
        <f t="shared" si="6"/>
        <v>0</v>
      </c>
      <c r="H19" s="130">
        <f>обед!AA18</f>
        <v>1128</v>
      </c>
      <c r="I19" s="88"/>
      <c r="J19" s="88">
        <f t="shared" si="7"/>
        <v>0</v>
      </c>
      <c r="K19" s="88">
        <f t="shared" si="4"/>
        <v>0</v>
      </c>
      <c r="L19" s="89">
        <f t="shared" si="0"/>
        <v>0</v>
      </c>
      <c r="M19" s="89"/>
      <c r="N19" s="90">
        <f t="shared" si="1"/>
        <v>0</v>
      </c>
      <c r="O19" s="89">
        <f t="shared" si="2"/>
        <v>0</v>
      </c>
      <c r="P19" s="138">
        <f t="shared" si="5"/>
        <v>0</v>
      </c>
      <c r="Q19" s="100">
        <f t="shared" si="3"/>
        <v>0</v>
      </c>
    </row>
    <row r="20" spans="1:17" ht="30">
      <c r="A20" s="83">
        <f>завтрак!A19</f>
        <v>17</v>
      </c>
      <c r="B20" s="84" t="str">
        <f>обед!B19</f>
        <v>Огурцы консервированные без уксуса (1с)</v>
      </c>
      <c r="C20" s="85" t="str">
        <f>обед!C19</f>
        <v>кг</v>
      </c>
      <c r="D20" s="131">
        <f>обед!D19</f>
        <v>70</v>
      </c>
      <c r="E20" s="91">
        <f>завтрак!AA19</f>
        <v>244</v>
      </c>
      <c r="F20" s="88"/>
      <c r="G20" s="88">
        <f t="shared" si="6"/>
        <v>0</v>
      </c>
      <c r="H20" s="130">
        <f>обед!AA19</f>
        <v>300</v>
      </c>
      <c r="I20" s="88"/>
      <c r="J20" s="88">
        <f t="shared" si="7"/>
        <v>0</v>
      </c>
      <c r="K20" s="88">
        <f t="shared" si="4"/>
        <v>0</v>
      </c>
      <c r="L20" s="89">
        <f t="shared" si="0"/>
        <v>0</v>
      </c>
      <c r="M20" s="89"/>
      <c r="N20" s="90">
        <f t="shared" si="1"/>
        <v>0</v>
      </c>
      <c r="O20" s="89">
        <f t="shared" si="2"/>
        <v>0</v>
      </c>
      <c r="P20" s="138">
        <f t="shared" si="5"/>
        <v>0</v>
      </c>
      <c r="Q20" s="100">
        <f t="shared" si="3"/>
        <v>0</v>
      </c>
    </row>
    <row r="21" spans="1:17" ht="15" customHeight="1">
      <c r="A21" s="83">
        <f>завтрак!A20</f>
        <v>18</v>
      </c>
      <c r="B21" s="84" t="str">
        <f>обед!B20</f>
        <v>Икра кабачковая для дет. питания</v>
      </c>
      <c r="C21" s="85" t="str">
        <f>обед!C20</f>
        <v>кг</v>
      </c>
      <c r="D21" s="131">
        <f>обед!D20</f>
        <v>110</v>
      </c>
      <c r="E21" s="91">
        <f>завтрак!AA20</f>
        <v>400</v>
      </c>
      <c r="F21" s="88"/>
      <c r="G21" s="88">
        <f t="shared" si="6"/>
        <v>0</v>
      </c>
      <c r="H21" s="130">
        <f>обед!AA20</f>
        <v>0</v>
      </c>
      <c r="I21" s="88"/>
      <c r="J21" s="88">
        <f t="shared" si="7"/>
        <v>0</v>
      </c>
      <c r="K21" s="88">
        <f t="shared" si="4"/>
        <v>0</v>
      </c>
      <c r="L21" s="89">
        <f t="shared" si="0"/>
        <v>0</v>
      </c>
      <c r="M21" s="89"/>
      <c r="N21" s="90">
        <f t="shared" si="1"/>
        <v>0</v>
      </c>
      <c r="O21" s="89">
        <f t="shared" si="2"/>
        <v>0</v>
      </c>
      <c r="P21" s="138">
        <f t="shared" si="5"/>
        <v>0</v>
      </c>
      <c r="Q21" s="100">
        <f t="shared" si="3"/>
        <v>0</v>
      </c>
    </row>
    <row r="22" spans="1:17" ht="15">
      <c r="A22" s="83">
        <f>завтрак!A21</f>
        <v>19</v>
      </c>
      <c r="B22" s="84" t="str">
        <f>обед!B21</f>
        <v>Горошек зеленый (сорт салатный)</v>
      </c>
      <c r="C22" s="85" t="str">
        <f>обед!C21</f>
        <v>кг</v>
      </c>
      <c r="D22" s="131">
        <f>обед!D21</f>
        <v>120</v>
      </c>
      <c r="E22" s="91">
        <f>завтрак!AA21</f>
        <v>172</v>
      </c>
      <c r="F22" s="88"/>
      <c r="G22" s="88">
        <f t="shared" si="6"/>
        <v>0</v>
      </c>
      <c r="H22" s="130">
        <f>обед!AA21</f>
        <v>140</v>
      </c>
      <c r="I22" s="88"/>
      <c r="J22" s="88">
        <f t="shared" si="7"/>
        <v>0</v>
      </c>
      <c r="K22" s="88">
        <f t="shared" si="4"/>
        <v>0</v>
      </c>
      <c r="L22" s="89">
        <f t="shared" si="0"/>
        <v>0</v>
      </c>
      <c r="M22" s="89"/>
      <c r="N22" s="90">
        <f t="shared" si="1"/>
        <v>0</v>
      </c>
      <c r="O22" s="89">
        <f t="shared" si="2"/>
        <v>0</v>
      </c>
      <c r="P22" s="138">
        <f t="shared" si="5"/>
        <v>0</v>
      </c>
      <c r="Q22" s="100">
        <f t="shared" si="3"/>
        <v>0</v>
      </c>
    </row>
    <row r="23" spans="1:17" ht="30">
      <c r="A23" s="150">
        <f>завтрак!A22</f>
        <v>20</v>
      </c>
      <c r="B23" s="84" t="str">
        <f>обед!B22</f>
        <v>Томатная паста с содержанием с/в (25-30%)</v>
      </c>
      <c r="C23" s="85" t="str">
        <f>обед!C22</f>
        <v>кг</v>
      </c>
      <c r="D23" s="131">
        <f>обед!D22</f>
        <v>123</v>
      </c>
      <c r="E23" s="91">
        <f>завтрак!AA22</f>
        <v>108</v>
      </c>
      <c r="F23" s="88"/>
      <c r="G23" s="88">
        <f t="shared" si="6"/>
        <v>0</v>
      </c>
      <c r="H23" s="130">
        <f>обед!AA22</f>
        <v>180</v>
      </c>
      <c r="I23" s="88"/>
      <c r="J23" s="88">
        <f t="shared" si="7"/>
        <v>0</v>
      </c>
      <c r="K23" s="88">
        <f t="shared" si="4"/>
        <v>0</v>
      </c>
      <c r="L23" s="89">
        <f t="shared" si="0"/>
        <v>0</v>
      </c>
      <c r="M23" s="89"/>
      <c r="N23" s="90">
        <f t="shared" si="1"/>
        <v>0</v>
      </c>
      <c r="O23" s="89">
        <f t="shared" si="2"/>
        <v>0</v>
      </c>
      <c r="P23" s="138">
        <f t="shared" si="5"/>
        <v>0</v>
      </c>
      <c r="Q23" s="100">
        <f t="shared" si="3"/>
        <v>0</v>
      </c>
    </row>
    <row r="24" spans="1:17" ht="15">
      <c r="A24" s="83">
        <f>завтрак!A23</f>
        <v>21</v>
      </c>
      <c r="B24" s="84" t="str">
        <f>обед!B23</f>
        <v>Яблоки свежие (1 сорт)</v>
      </c>
      <c r="C24" s="85" t="str">
        <f>обед!C23</f>
        <v>кг</v>
      </c>
      <c r="D24" s="131">
        <f>обед!D23</f>
        <v>112</v>
      </c>
      <c r="E24" s="91">
        <f>завтрак!AA23</f>
        <v>1480</v>
      </c>
      <c r="F24" s="88"/>
      <c r="G24" s="88">
        <f t="shared" si="6"/>
        <v>0</v>
      </c>
      <c r="H24" s="130">
        <f>обед!AA23</f>
        <v>1520</v>
      </c>
      <c r="I24" s="88"/>
      <c r="J24" s="88">
        <f t="shared" si="7"/>
        <v>0</v>
      </c>
      <c r="K24" s="88">
        <f t="shared" si="4"/>
        <v>0</v>
      </c>
      <c r="L24" s="89">
        <f t="shared" si="0"/>
        <v>0</v>
      </c>
      <c r="M24" s="89"/>
      <c r="N24" s="90">
        <f t="shared" si="1"/>
        <v>0</v>
      </c>
      <c r="O24" s="89">
        <f t="shared" si="2"/>
        <v>0</v>
      </c>
      <c r="P24" s="138">
        <f t="shared" si="5"/>
        <v>0</v>
      </c>
      <c r="Q24" s="100">
        <f t="shared" si="3"/>
        <v>0</v>
      </c>
    </row>
    <row r="25" spans="1:17" ht="15">
      <c r="A25" s="83">
        <f>завтрак!A24</f>
        <v>22</v>
      </c>
      <c r="B25" s="84" t="str">
        <f>обед!B24</f>
        <v>Бананы свежие (1 сорт)</v>
      </c>
      <c r="C25" s="85" t="str">
        <f>обед!C24</f>
        <v>кг</v>
      </c>
      <c r="D25" s="131">
        <f>обед!D24</f>
        <v>150</v>
      </c>
      <c r="E25" s="91">
        <f>завтрак!AA24</f>
        <v>700</v>
      </c>
      <c r="F25" s="88"/>
      <c r="G25" s="88">
        <f t="shared" si="6"/>
        <v>0</v>
      </c>
      <c r="H25" s="130">
        <f>обед!AA24</f>
        <v>520</v>
      </c>
      <c r="I25" s="88"/>
      <c r="J25" s="88">
        <f t="shared" si="7"/>
        <v>0</v>
      </c>
      <c r="K25" s="88">
        <f t="shared" si="4"/>
        <v>0</v>
      </c>
      <c r="L25" s="89">
        <f t="shared" si="0"/>
        <v>0</v>
      </c>
      <c r="M25" s="89"/>
      <c r="N25" s="90">
        <f t="shared" si="1"/>
        <v>0</v>
      </c>
      <c r="O25" s="89">
        <f t="shared" si="2"/>
        <v>0</v>
      </c>
      <c r="P25" s="138">
        <f t="shared" si="5"/>
        <v>0</v>
      </c>
      <c r="Q25" s="100">
        <f t="shared" si="3"/>
        <v>0</v>
      </c>
    </row>
    <row r="26" spans="1:17" ht="15">
      <c r="A26" s="83">
        <f>завтрак!A25</f>
        <v>23</v>
      </c>
      <c r="B26" s="84" t="str">
        <f>обед!B25</f>
        <v>Сухофрукты ассорти</v>
      </c>
      <c r="C26" s="85" t="str">
        <f>обед!C25</f>
        <v>кг</v>
      </c>
      <c r="D26" s="131">
        <f>обед!D25</f>
        <v>148</v>
      </c>
      <c r="E26" s="91">
        <f>завтрак!AA25</f>
        <v>0</v>
      </c>
      <c r="F26" s="88"/>
      <c r="G26" s="88">
        <f t="shared" si="6"/>
        <v>0</v>
      </c>
      <c r="H26" s="130">
        <f>обед!AA25</f>
        <v>520</v>
      </c>
      <c r="I26" s="88"/>
      <c r="J26" s="88">
        <f t="shared" si="7"/>
        <v>0</v>
      </c>
      <c r="K26" s="88">
        <f t="shared" si="4"/>
        <v>0</v>
      </c>
      <c r="L26" s="89">
        <f t="shared" si="0"/>
        <v>0</v>
      </c>
      <c r="M26" s="89"/>
      <c r="N26" s="90">
        <f t="shared" si="1"/>
        <v>0</v>
      </c>
      <c r="O26" s="89">
        <f t="shared" si="2"/>
        <v>0</v>
      </c>
      <c r="P26" s="138">
        <f t="shared" si="5"/>
        <v>0</v>
      </c>
      <c r="Q26" s="100">
        <f t="shared" si="3"/>
        <v>0</v>
      </c>
    </row>
    <row r="27" spans="1:17" ht="15">
      <c r="A27" s="83">
        <f>завтрак!A26</f>
        <v>24</v>
      </c>
      <c r="B27" s="84" t="str">
        <f>обед!B26</f>
        <v>Изюм</v>
      </c>
      <c r="C27" s="85" t="str">
        <f>обед!C26</f>
        <v>кг</v>
      </c>
      <c r="D27" s="131">
        <f>обед!D26</f>
        <v>260</v>
      </c>
      <c r="E27" s="91">
        <f>завтрак!AA26</f>
        <v>0</v>
      </c>
      <c r="F27" s="88"/>
      <c r="G27" s="88">
        <f t="shared" si="6"/>
        <v>0</v>
      </c>
      <c r="H27" s="130">
        <f>обед!AA26</f>
        <v>0</v>
      </c>
      <c r="I27" s="88"/>
      <c r="J27" s="88">
        <f t="shared" si="7"/>
        <v>0</v>
      </c>
      <c r="K27" s="88">
        <f t="shared" si="4"/>
        <v>0</v>
      </c>
      <c r="L27" s="89">
        <f t="shared" si="0"/>
        <v>0</v>
      </c>
      <c r="M27" s="89"/>
      <c r="N27" s="90">
        <f t="shared" si="1"/>
        <v>0</v>
      </c>
      <c r="O27" s="89">
        <f t="shared" si="2"/>
        <v>0</v>
      </c>
      <c r="P27" s="138">
        <f t="shared" si="5"/>
        <v>0</v>
      </c>
      <c r="Q27" s="100">
        <f t="shared" si="3"/>
        <v>0</v>
      </c>
    </row>
    <row r="28" spans="1:17" ht="15">
      <c r="A28" s="83">
        <f>завтрак!A27</f>
        <v>25</v>
      </c>
      <c r="B28" s="84" t="str">
        <f>обед!B27</f>
        <v>Повидло фруктовое (1 сорт)</v>
      </c>
      <c r="C28" s="85" t="str">
        <f>обед!C27</f>
        <v>кг</v>
      </c>
      <c r="D28" s="131">
        <f>обед!D27</f>
        <v>120</v>
      </c>
      <c r="E28" s="91">
        <f>завтрак!AA27</f>
        <v>0</v>
      </c>
      <c r="F28" s="88"/>
      <c r="G28" s="88">
        <f t="shared" si="6"/>
        <v>0</v>
      </c>
      <c r="H28" s="130">
        <f>обед!AA27</f>
        <v>0</v>
      </c>
      <c r="I28" s="88"/>
      <c r="J28" s="88">
        <f t="shared" si="7"/>
        <v>0</v>
      </c>
      <c r="K28" s="88">
        <f t="shared" si="4"/>
        <v>0</v>
      </c>
      <c r="L28" s="89">
        <f t="shared" si="0"/>
        <v>0</v>
      </c>
      <c r="M28" s="89"/>
      <c r="N28" s="90">
        <f t="shared" si="1"/>
        <v>0</v>
      </c>
      <c r="O28" s="89">
        <f t="shared" si="2"/>
        <v>0</v>
      </c>
      <c r="P28" s="138">
        <f t="shared" si="5"/>
        <v>0</v>
      </c>
      <c r="Q28" s="100">
        <f t="shared" si="3"/>
        <v>0</v>
      </c>
    </row>
    <row r="29" spans="1:17" ht="15">
      <c r="A29" s="83">
        <f>завтрак!A28</f>
        <v>26</v>
      </c>
      <c r="B29" s="84" t="str">
        <f>обед!B28</f>
        <v>Сок фруктовый (1 литр)</v>
      </c>
      <c r="C29" s="85" t="str">
        <f>обед!C28</f>
        <v>л</v>
      </c>
      <c r="D29" s="131">
        <f>обед!D28</f>
        <v>61</v>
      </c>
      <c r="E29" s="91">
        <f>завтрак!AA28</f>
        <v>800</v>
      </c>
      <c r="F29" s="88"/>
      <c r="G29" s="88">
        <f t="shared" si="6"/>
        <v>0</v>
      </c>
      <c r="H29" s="130">
        <f>обед!AA28</f>
        <v>0</v>
      </c>
      <c r="I29" s="88"/>
      <c r="J29" s="88">
        <f t="shared" si="7"/>
        <v>0</v>
      </c>
      <c r="K29" s="88">
        <f t="shared" si="4"/>
        <v>0</v>
      </c>
      <c r="L29" s="89">
        <f t="shared" si="0"/>
        <v>0</v>
      </c>
      <c r="M29" s="89"/>
      <c r="N29" s="90">
        <f t="shared" si="1"/>
        <v>0</v>
      </c>
      <c r="O29" s="89">
        <f t="shared" si="2"/>
        <v>0</v>
      </c>
      <c r="P29" s="138">
        <f t="shared" si="5"/>
        <v>0</v>
      </c>
      <c r="Q29" s="100">
        <f t="shared" si="3"/>
        <v>0</v>
      </c>
    </row>
    <row r="30" spans="1:17" ht="15">
      <c r="A30" s="83">
        <f>завтрак!A29</f>
        <v>27</v>
      </c>
      <c r="B30" s="84" t="str">
        <f>обед!B29</f>
        <v>Масло растительное, рафинированное</v>
      </c>
      <c r="C30" s="85" t="str">
        <f>обед!C29</f>
        <v>кг</v>
      </c>
      <c r="D30" s="131">
        <f>обед!D29</f>
        <v>138</v>
      </c>
      <c r="E30" s="91">
        <f>завтрак!AA29</f>
        <v>208</v>
      </c>
      <c r="F30" s="88"/>
      <c r="G30" s="88">
        <f t="shared" si="6"/>
        <v>0</v>
      </c>
      <c r="H30" s="130">
        <f>обед!AA29</f>
        <v>376</v>
      </c>
      <c r="I30" s="88"/>
      <c r="J30" s="88">
        <f t="shared" si="7"/>
        <v>0</v>
      </c>
      <c r="K30" s="88">
        <f t="shared" si="4"/>
        <v>0</v>
      </c>
      <c r="L30" s="89">
        <f t="shared" si="0"/>
        <v>0</v>
      </c>
      <c r="M30" s="89"/>
      <c r="N30" s="90">
        <f t="shared" si="1"/>
        <v>0</v>
      </c>
      <c r="O30" s="89">
        <f t="shared" si="2"/>
        <v>0</v>
      </c>
      <c r="P30" s="138">
        <f t="shared" si="5"/>
        <v>0</v>
      </c>
      <c r="Q30" s="100">
        <f t="shared" si="3"/>
        <v>0</v>
      </c>
    </row>
    <row r="31" spans="1:17" ht="15">
      <c r="A31" s="83">
        <f>завтрак!A30</f>
        <v>28</v>
      </c>
      <c r="B31" s="84" t="str">
        <f>обед!B30</f>
        <v>Рыба с/м (1 сорт), минтай</v>
      </c>
      <c r="C31" s="85" t="str">
        <f>обед!C30</f>
        <v>кг</v>
      </c>
      <c r="D31" s="131">
        <f>обед!D30</f>
        <v>207</v>
      </c>
      <c r="E31" s="91">
        <f>завтрак!AA30</f>
        <v>940</v>
      </c>
      <c r="F31" s="88"/>
      <c r="G31" s="88">
        <f t="shared" si="6"/>
        <v>0</v>
      </c>
      <c r="H31" s="130">
        <f>обед!AA30</f>
        <v>828</v>
      </c>
      <c r="I31" s="88"/>
      <c r="J31" s="88">
        <f t="shared" si="7"/>
        <v>0</v>
      </c>
      <c r="K31" s="88">
        <f t="shared" si="4"/>
        <v>0</v>
      </c>
      <c r="L31" s="89">
        <f t="shared" si="0"/>
        <v>0</v>
      </c>
      <c r="M31" s="89"/>
      <c r="N31" s="90">
        <f t="shared" si="1"/>
        <v>0</v>
      </c>
      <c r="O31" s="89">
        <f t="shared" si="2"/>
        <v>0</v>
      </c>
      <c r="P31" s="138">
        <f t="shared" si="5"/>
        <v>0</v>
      </c>
      <c r="Q31" s="100">
        <f t="shared" si="3"/>
        <v>0</v>
      </c>
    </row>
    <row r="32" spans="1:17" ht="15">
      <c r="A32" s="83">
        <f>завтрак!A31</f>
        <v>29</v>
      </c>
      <c r="B32" s="84" t="str">
        <f>обед!B31</f>
        <v>Консервы рыбные (сайра)</v>
      </c>
      <c r="C32" s="85" t="str">
        <f>обед!C31</f>
        <v>кг</v>
      </c>
      <c r="D32" s="131">
        <f>обед!D31</f>
        <v>485</v>
      </c>
      <c r="E32" s="91">
        <f>завтрак!AA31</f>
        <v>0</v>
      </c>
      <c r="F32" s="88"/>
      <c r="G32" s="88">
        <f t="shared" si="6"/>
        <v>0</v>
      </c>
      <c r="H32" s="130">
        <f>обед!AA31</f>
        <v>0</v>
      </c>
      <c r="I32" s="88"/>
      <c r="J32" s="88">
        <f t="shared" si="7"/>
        <v>0</v>
      </c>
      <c r="K32" s="88">
        <f t="shared" si="4"/>
        <v>0</v>
      </c>
      <c r="L32" s="89">
        <f t="shared" si="0"/>
        <v>0</v>
      </c>
      <c r="M32" s="89"/>
      <c r="N32" s="90">
        <f t="shared" si="1"/>
        <v>0</v>
      </c>
      <c r="O32" s="89">
        <f t="shared" si="2"/>
        <v>0</v>
      </c>
      <c r="P32" s="138">
        <f t="shared" si="5"/>
        <v>0</v>
      </c>
      <c r="Q32" s="100">
        <f t="shared" si="3"/>
        <v>0</v>
      </c>
    </row>
    <row r="33" spans="1:17" ht="15">
      <c r="A33" s="83">
        <f>завтрак!A32</f>
        <v>30</v>
      </c>
      <c r="B33" s="84" t="str">
        <f>обед!B32</f>
        <v>Мука пшеничная (высший сорт)</v>
      </c>
      <c r="C33" s="85" t="str">
        <f>обед!C32</f>
        <v>кг</v>
      </c>
      <c r="D33" s="131">
        <f>обед!D32</f>
        <v>38</v>
      </c>
      <c r="E33" s="91">
        <f>завтрак!AA32</f>
        <v>1044</v>
      </c>
      <c r="F33" s="88"/>
      <c r="G33" s="88">
        <f t="shared" si="6"/>
        <v>0</v>
      </c>
      <c r="H33" s="130">
        <f>обед!AA32</f>
        <v>212</v>
      </c>
      <c r="I33" s="88"/>
      <c r="J33" s="88">
        <f t="shared" si="7"/>
        <v>0</v>
      </c>
      <c r="K33" s="88">
        <f t="shared" si="4"/>
        <v>0</v>
      </c>
      <c r="L33" s="89">
        <f t="shared" si="0"/>
        <v>0</v>
      </c>
      <c r="M33" s="89"/>
      <c r="N33" s="90">
        <f t="shared" si="1"/>
        <v>0</v>
      </c>
      <c r="O33" s="89">
        <f t="shared" si="2"/>
        <v>0</v>
      </c>
      <c r="P33" s="138">
        <f t="shared" si="5"/>
        <v>0</v>
      </c>
      <c r="Q33" s="100">
        <f t="shared" si="3"/>
        <v>0</v>
      </c>
    </row>
    <row r="34" spans="1:17" ht="15">
      <c r="A34" s="83">
        <f>завтрак!A33</f>
        <v>31</v>
      </c>
      <c r="B34" s="84" t="str">
        <f>обед!B33</f>
        <v>Крупа гречневая, в инд. уп.</v>
      </c>
      <c r="C34" s="85" t="str">
        <f>обед!C33</f>
        <v>кг</v>
      </c>
      <c r="D34" s="131">
        <f>обед!D33</f>
        <v>122</v>
      </c>
      <c r="E34" s="91">
        <f>завтрак!AA33</f>
        <v>96</v>
      </c>
      <c r="F34" s="88"/>
      <c r="G34" s="88">
        <f t="shared" si="6"/>
        <v>0</v>
      </c>
      <c r="H34" s="130">
        <f>обед!AA33</f>
        <v>460</v>
      </c>
      <c r="I34" s="88"/>
      <c r="J34" s="88">
        <f t="shared" si="7"/>
        <v>0</v>
      </c>
      <c r="K34" s="88">
        <f t="shared" si="4"/>
        <v>0</v>
      </c>
      <c r="L34" s="89">
        <f t="shared" si="0"/>
        <v>0</v>
      </c>
      <c r="M34" s="89"/>
      <c r="N34" s="90">
        <f t="shared" si="1"/>
        <v>0</v>
      </c>
      <c r="O34" s="89">
        <f t="shared" si="2"/>
        <v>0</v>
      </c>
      <c r="P34" s="138">
        <f t="shared" si="5"/>
        <v>0</v>
      </c>
      <c r="Q34" s="100">
        <f t="shared" si="3"/>
        <v>0</v>
      </c>
    </row>
    <row r="35" spans="1:17" ht="15">
      <c r="A35" s="83">
        <f>завтрак!A34</f>
        <v>32</v>
      </c>
      <c r="B35" s="84" t="str">
        <f>обед!B34</f>
        <v>Крупа манная (1 сорт), в инд. уп.</v>
      </c>
      <c r="C35" s="85" t="str">
        <f>обед!C34</f>
        <v>кг</v>
      </c>
      <c r="D35" s="131">
        <f>обед!D34</f>
        <v>56</v>
      </c>
      <c r="E35" s="91">
        <f>завтрак!AA34</f>
        <v>0</v>
      </c>
      <c r="F35" s="88"/>
      <c r="G35" s="88">
        <f t="shared" si="6"/>
        <v>0</v>
      </c>
      <c r="H35" s="130">
        <f>обед!AA34</f>
        <v>0</v>
      </c>
      <c r="I35" s="88"/>
      <c r="J35" s="88">
        <f t="shared" si="7"/>
        <v>0</v>
      </c>
      <c r="K35" s="88">
        <f t="shared" si="4"/>
        <v>0</v>
      </c>
      <c r="L35" s="89">
        <f t="shared" si="0"/>
        <v>0</v>
      </c>
      <c r="M35" s="89"/>
      <c r="N35" s="90">
        <f t="shared" si="1"/>
        <v>0</v>
      </c>
      <c r="O35" s="89">
        <f t="shared" si="2"/>
        <v>0</v>
      </c>
      <c r="P35" s="138">
        <f t="shared" si="5"/>
        <v>0</v>
      </c>
      <c r="Q35" s="100">
        <f t="shared" si="3"/>
        <v>0</v>
      </c>
    </row>
    <row r="36" spans="1:17" ht="15">
      <c r="A36" s="83">
        <f>завтрак!A35</f>
        <v>33</v>
      </c>
      <c r="B36" s="84" t="str">
        <f>обед!B35</f>
        <v>Рис (1 сорт), в инд. уп.</v>
      </c>
      <c r="C36" s="85" t="str">
        <f>обед!C35</f>
        <v>кг</v>
      </c>
      <c r="D36" s="131">
        <f>обед!D35</f>
        <v>98</v>
      </c>
      <c r="E36" s="91">
        <f>завтрак!AA35</f>
        <v>316</v>
      </c>
      <c r="F36" s="88"/>
      <c r="G36" s="88">
        <f t="shared" si="6"/>
        <v>0</v>
      </c>
      <c r="H36" s="130">
        <f>обед!AA35</f>
        <v>248</v>
      </c>
      <c r="I36" s="88"/>
      <c r="J36" s="88">
        <f t="shared" si="7"/>
        <v>0</v>
      </c>
      <c r="K36" s="88">
        <f t="shared" si="4"/>
        <v>0</v>
      </c>
      <c r="L36" s="89">
        <f aca="true" t="shared" si="8" ref="L36:L55">D36*K36</f>
        <v>0</v>
      </c>
      <c r="M36" s="89"/>
      <c r="N36" s="90">
        <f t="shared" si="1"/>
        <v>0</v>
      </c>
      <c r="O36" s="89">
        <f aca="true" t="shared" si="9" ref="O36:O55">N36*D36</f>
        <v>0</v>
      </c>
      <c r="P36" s="138">
        <f t="shared" si="5"/>
        <v>0</v>
      </c>
      <c r="Q36" s="100">
        <f aca="true" t="shared" si="10" ref="Q36:Q55">P36*D36</f>
        <v>0</v>
      </c>
    </row>
    <row r="37" spans="1:17" ht="15">
      <c r="A37" s="83">
        <f>завтрак!A36</f>
        <v>34</v>
      </c>
      <c r="B37" s="84" t="str">
        <f>обед!B36</f>
        <v>Крупа пшеничная (1 сорт), в инд. уп.</v>
      </c>
      <c r="C37" s="85" t="str">
        <f>обед!C36</f>
        <v>кг</v>
      </c>
      <c r="D37" s="131">
        <f>обед!D36</f>
        <v>61</v>
      </c>
      <c r="E37" s="91">
        <f>завтрак!AA36</f>
        <v>140</v>
      </c>
      <c r="F37" s="88"/>
      <c r="G37" s="88">
        <f t="shared" si="6"/>
        <v>0</v>
      </c>
      <c r="H37" s="130">
        <f>обед!AA36</f>
        <v>140</v>
      </c>
      <c r="I37" s="88"/>
      <c r="J37" s="88">
        <f t="shared" si="7"/>
        <v>0</v>
      </c>
      <c r="K37" s="88">
        <f t="shared" si="4"/>
        <v>0</v>
      </c>
      <c r="L37" s="89">
        <f t="shared" si="8"/>
        <v>0</v>
      </c>
      <c r="M37" s="89"/>
      <c r="N37" s="90">
        <f t="shared" si="1"/>
        <v>0</v>
      </c>
      <c r="O37" s="89">
        <f t="shared" si="9"/>
        <v>0</v>
      </c>
      <c r="P37" s="138">
        <f t="shared" si="5"/>
        <v>0</v>
      </c>
      <c r="Q37" s="100">
        <f t="shared" si="10"/>
        <v>0</v>
      </c>
    </row>
    <row r="38" spans="1:17" ht="15">
      <c r="A38" s="83">
        <f>завтрак!A37</f>
        <v>35</v>
      </c>
      <c r="B38" s="84" t="str">
        <f>обед!B37</f>
        <v>Пшено (1 сорт), в инд. уп.</v>
      </c>
      <c r="C38" s="85" t="str">
        <f>обед!C37</f>
        <v>кг</v>
      </c>
      <c r="D38" s="131">
        <f>обед!D37</f>
        <v>61</v>
      </c>
      <c r="E38" s="91">
        <f>завтрак!AA37</f>
        <v>208</v>
      </c>
      <c r="F38" s="88"/>
      <c r="G38" s="88">
        <f t="shared" si="6"/>
        <v>0</v>
      </c>
      <c r="H38" s="130">
        <f>обед!AA37</f>
        <v>212</v>
      </c>
      <c r="I38" s="88"/>
      <c r="J38" s="88">
        <f t="shared" si="7"/>
        <v>0</v>
      </c>
      <c r="K38" s="88">
        <f t="shared" si="4"/>
        <v>0</v>
      </c>
      <c r="L38" s="89">
        <f t="shared" si="8"/>
        <v>0</v>
      </c>
      <c r="M38" s="89"/>
      <c r="N38" s="90">
        <f t="shared" si="1"/>
        <v>0</v>
      </c>
      <c r="O38" s="89">
        <f t="shared" si="9"/>
        <v>0</v>
      </c>
      <c r="P38" s="138">
        <f t="shared" si="5"/>
        <v>0</v>
      </c>
      <c r="Q38" s="100">
        <f t="shared" si="10"/>
        <v>0</v>
      </c>
    </row>
    <row r="39" spans="1:17" ht="15">
      <c r="A39" s="83">
        <f>завтрак!A38</f>
        <v>36</v>
      </c>
      <c r="B39" s="84" t="str">
        <f>обед!B38</f>
        <v>Горох шлифованный, в инд. уп.</v>
      </c>
      <c r="C39" s="85" t="str">
        <f>обед!C38</f>
        <v>кг</v>
      </c>
      <c r="D39" s="131">
        <f>обед!D38</f>
        <v>61</v>
      </c>
      <c r="E39" s="91">
        <f>завтрак!AA38</f>
        <v>0</v>
      </c>
      <c r="F39" s="88"/>
      <c r="G39" s="88">
        <f t="shared" si="6"/>
        <v>0</v>
      </c>
      <c r="H39" s="130">
        <f>обед!AA38</f>
        <v>152</v>
      </c>
      <c r="I39" s="88"/>
      <c r="J39" s="88">
        <f t="shared" si="7"/>
        <v>0</v>
      </c>
      <c r="K39" s="88">
        <f t="shared" si="4"/>
        <v>0</v>
      </c>
      <c r="L39" s="89">
        <f t="shared" si="8"/>
        <v>0</v>
      </c>
      <c r="M39" s="89"/>
      <c r="N39" s="90">
        <f t="shared" si="1"/>
        <v>0</v>
      </c>
      <c r="O39" s="89">
        <f t="shared" si="9"/>
        <v>0</v>
      </c>
      <c r="P39" s="138">
        <f t="shared" si="5"/>
        <v>0</v>
      </c>
      <c r="Q39" s="100">
        <f t="shared" si="10"/>
        <v>0</v>
      </c>
    </row>
    <row r="40" spans="1:17" ht="15">
      <c r="A40" s="83">
        <f>завтрак!A39</f>
        <v>37</v>
      </c>
      <c r="B40" s="84" t="str">
        <f>обед!B39</f>
        <v>Крупа перловая, в инд. уп.</v>
      </c>
      <c r="C40" s="85" t="str">
        <f>обед!C39</f>
        <v>кг</v>
      </c>
      <c r="D40" s="131">
        <f>обед!D39</f>
        <v>51</v>
      </c>
      <c r="E40" s="91">
        <f>завтрак!AA39</f>
        <v>0</v>
      </c>
      <c r="F40" s="88"/>
      <c r="G40" s="88">
        <f t="shared" si="6"/>
        <v>0</v>
      </c>
      <c r="H40" s="130">
        <f>обед!AA39</f>
        <v>32</v>
      </c>
      <c r="I40" s="88"/>
      <c r="J40" s="88">
        <f t="shared" si="7"/>
        <v>0</v>
      </c>
      <c r="K40" s="88">
        <f t="shared" si="4"/>
        <v>0</v>
      </c>
      <c r="L40" s="89">
        <f t="shared" si="8"/>
        <v>0</v>
      </c>
      <c r="M40" s="89"/>
      <c r="N40" s="90">
        <f t="shared" si="1"/>
        <v>0</v>
      </c>
      <c r="O40" s="89">
        <f t="shared" si="9"/>
        <v>0</v>
      </c>
      <c r="P40" s="138">
        <f t="shared" si="5"/>
        <v>0</v>
      </c>
      <c r="Q40" s="100">
        <f t="shared" si="10"/>
        <v>0</v>
      </c>
    </row>
    <row r="41" spans="1:17" ht="15">
      <c r="A41" s="83">
        <f>завтрак!A40</f>
        <v>38</v>
      </c>
      <c r="B41" s="84" t="str">
        <f>обед!B40</f>
        <v>Крупа ячневая, в инд. уп.</v>
      </c>
      <c r="C41" s="85" t="str">
        <f>обед!C40</f>
        <v>кг</v>
      </c>
      <c r="D41" s="131">
        <f>обед!D40</f>
        <v>51</v>
      </c>
      <c r="E41" s="91">
        <f>завтрак!AA40</f>
        <v>0</v>
      </c>
      <c r="F41" s="88"/>
      <c r="G41" s="88">
        <f t="shared" si="6"/>
        <v>0</v>
      </c>
      <c r="H41" s="130">
        <f>обед!AA40</f>
        <v>200</v>
      </c>
      <c r="I41" s="88"/>
      <c r="J41" s="88">
        <f t="shared" si="7"/>
        <v>0</v>
      </c>
      <c r="K41" s="88">
        <f t="shared" si="4"/>
        <v>0</v>
      </c>
      <c r="L41" s="89">
        <f t="shared" si="8"/>
        <v>0</v>
      </c>
      <c r="M41" s="89"/>
      <c r="N41" s="90">
        <f t="shared" si="1"/>
        <v>0</v>
      </c>
      <c r="O41" s="89">
        <f t="shared" si="9"/>
        <v>0</v>
      </c>
      <c r="P41" s="138">
        <f t="shared" si="5"/>
        <v>0</v>
      </c>
      <c r="Q41" s="100">
        <f t="shared" si="10"/>
        <v>0</v>
      </c>
    </row>
    <row r="42" spans="1:17" ht="15">
      <c r="A42" s="83">
        <f>завтрак!A41</f>
        <v>39</v>
      </c>
      <c r="B42" s="84" t="str">
        <f>обед!B41</f>
        <v>Хлопья "Геркулес", в инд. уп.</v>
      </c>
      <c r="C42" s="85" t="str">
        <f>обед!C41</f>
        <v>кг</v>
      </c>
      <c r="D42" s="131">
        <f>обед!D41</f>
        <v>79</v>
      </c>
      <c r="E42" s="91">
        <f>завтрак!AA41</f>
        <v>0</v>
      </c>
      <c r="F42" s="88"/>
      <c r="G42" s="88">
        <f t="shared" si="6"/>
        <v>0</v>
      </c>
      <c r="H42" s="130">
        <f>обед!AA41</f>
        <v>0</v>
      </c>
      <c r="I42" s="88"/>
      <c r="J42" s="88">
        <f t="shared" si="7"/>
        <v>0</v>
      </c>
      <c r="K42" s="88">
        <f t="shared" si="4"/>
        <v>0</v>
      </c>
      <c r="L42" s="89">
        <f t="shared" si="8"/>
        <v>0</v>
      </c>
      <c r="M42" s="89"/>
      <c r="N42" s="90">
        <f t="shared" si="1"/>
        <v>0</v>
      </c>
      <c r="O42" s="89">
        <f t="shared" si="9"/>
        <v>0</v>
      </c>
      <c r="P42" s="138">
        <f t="shared" si="5"/>
        <v>0</v>
      </c>
      <c r="Q42" s="100">
        <f t="shared" si="10"/>
        <v>0</v>
      </c>
    </row>
    <row r="43" spans="1:17" ht="15">
      <c r="A43" s="83">
        <f>завтрак!A42</f>
        <v>40</v>
      </c>
      <c r="B43" s="84" t="str">
        <f>обед!B42</f>
        <v>Сахар-песок</v>
      </c>
      <c r="C43" s="85" t="str">
        <f>обед!C42</f>
        <v>кг</v>
      </c>
      <c r="D43" s="131">
        <f>обед!D42</f>
        <v>85</v>
      </c>
      <c r="E43" s="91">
        <f>завтрак!AA42</f>
        <v>666</v>
      </c>
      <c r="F43" s="88"/>
      <c r="G43" s="88">
        <f t="shared" si="6"/>
        <v>0</v>
      </c>
      <c r="H43" s="130">
        <f>обед!AA42</f>
        <v>516</v>
      </c>
      <c r="I43" s="88"/>
      <c r="J43" s="88">
        <f t="shared" si="7"/>
        <v>0</v>
      </c>
      <c r="K43" s="88">
        <f t="shared" si="4"/>
        <v>0</v>
      </c>
      <c r="L43" s="89">
        <f t="shared" si="8"/>
        <v>0</v>
      </c>
      <c r="M43" s="89"/>
      <c r="N43" s="90">
        <f t="shared" si="1"/>
        <v>0</v>
      </c>
      <c r="O43" s="89">
        <f t="shared" si="9"/>
        <v>0</v>
      </c>
      <c r="P43" s="138">
        <f t="shared" si="5"/>
        <v>0</v>
      </c>
      <c r="Q43" s="100">
        <f t="shared" si="10"/>
        <v>0</v>
      </c>
    </row>
    <row r="44" spans="1:17" ht="15">
      <c r="A44" s="83">
        <f>завтрак!A43</f>
        <v>41</v>
      </c>
      <c r="B44" s="84" t="str">
        <f>обед!B43</f>
        <v>Макароны (высший сорт)</v>
      </c>
      <c r="C44" s="85" t="str">
        <f>обед!C43</f>
        <v>кг</v>
      </c>
      <c r="D44" s="131">
        <f>обед!D43</f>
        <v>43</v>
      </c>
      <c r="E44" s="91">
        <f>завтрак!AA43</f>
        <v>204</v>
      </c>
      <c r="F44" s="88"/>
      <c r="G44" s="88">
        <f t="shared" si="6"/>
        <v>0</v>
      </c>
      <c r="H44" s="130">
        <f>обед!AA43</f>
        <v>204</v>
      </c>
      <c r="I44" s="88"/>
      <c r="J44" s="88">
        <f t="shared" si="7"/>
        <v>0</v>
      </c>
      <c r="K44" s="88">
        <f t="shared" si="4"/>
        <v>0</v>
      </c>
      <c r="L44" s="89">
        <f t="shared" si="8"/>
        <v>0</v>
      </c>
      <c r="M44" s="89"/>
      <c r="N44" s="90">
        <f t="shared" si="1"/>
        <v>0</v>
      </c>
      <c r="O44" s="89">
        <f t="shared" si="9"/>
        <v>0</v>
      </c>
      <c r="P44" s="138">
        <f t="shared" si="5"/>
        <v>0</v>
      </c>
      <c r="Q44" s="100">
        <f t="shared" si="10"/>
        <v>0</v>
      </c>
    </row>
    <row r="45" spans="1:17" ht="15">
      <c r="A45" s="83">
        <f>завтрак!A44</f>
        <v>42</v>
      </c>
      <c r="B45" s="84" t="str">
        <f>обед!B44</f>
        <v>Вермишель (высший сорт)</v>
      </c>
      <c r="C45" s="85" t="str">
        <f>обед!C44</f>
        <v>кг</v>
      </c>
      <c r="D45" s="131">
        <f>обед!D44</f>
        <v>44</v>
      </c>
      <c r="E45" s="91">
        <f>завтрак!AA44</f>
        <v>0</v>
      </c>
      <c r="F45" s="88"/>
      <c r="G45" s="88">
        <f t="shared" si="6"/>
        <v>0</v>
      </c>
      <c r="H45" s="130">
        <f>обед!AA44</f>
        <v>40</v>
      </c>
      <c r="I45" s="88"/>
      <c r="J45" s="88">
        <f t="shared" si="7"/>
        <v>0</v>
      </c>
      <c r="K45" s="88">
        <f t="shared" si="4"/>
        <v>0</v>
      </c>
      <c r="L45" s="89">
        <f t="shared" si="8"/>
        <v>0</v>
      </c>
      <c r="M45" s="89"/>
      <c r="N45" s="90">
        <f t="shared" si="1"/>
        <v>0</v>
      </c>
      <c r="O45" s="89">
        <f t="shared" si="9"/>
        <v>0</v>
      </c>
      <c r="P45" s="138">
        <f t="shared" si="5"/>
        <v>0</v>
      </c>
      <c r="Q45" s="100">
        <f t="shared" si="10"/>
        <v>0</v>
      </c>
    </row>
    <row r="46" spans="1:17" ht="15">
      <c r="A46" s="83">
        <f>завтрак!A45</f>
        <v>43</v>
      </c>
      <c r="B46" s="84" t="str">
        <f>обед!B45</f>
        <v>Дрожжи сухие</v>
      </c>
      <c r="C46" s="85" t="str">
        <f>обед!C45</f>
        <v>кг</v>
      </c>
      <c r="D46" s="131">
        <f>обед!D45</f>
        <v>377</v>
      </c>
      <c r="E46" s="91">
        <f>завтрак!AA45</f>
        <v>18</v>
      </c>
      <c r="F46" s="88"/>
      <c r="G46" s="88">
        <f t="shared" si="6"/>
        <v>0</v>
      </c>
      <c r="H46" s="130">
        <f>обед!AA45</f>
        <v>0</v>
      </c>
      <c r="I46" s="88"/>
      <c r="J46" s="88">
        <f t="shared" si="7"/>
        <v>0</v>
      </c>
      <c r="K46" s="88">
        <f t="shared" si="4"/>
        <v>0</v>
      </c>
      <c r="L46" s="89">
        <f t="shared" si="8"/>
        <v>0</v>
      </c>
      <c r="M46" s="89"/>
      <c r="N46" s="90">
        <f t="shared" si="1"/>
        <v>0</v>
      </c>
      <c r="O46" s="89">
        <f t="shared" si="9"/>
        <v>0</v>
      </c>
      <c r="P46" s="138">
        <f t="shared" si="5"/>
        <v>0</v>
      </c>
      <c r="Q46" s="100">
        <f t="shared" si="10"/>
        <v>0</v>
      </c>
    </row>
    <row r="47" spans="1:17" ht="15">
      <c r="A47" s="83">
        <f>завтрак!A46</f>
        <v>44</v>
      </c>
      <c r="B47" s="84" t="str">
        <f>обед!B46</f>
        <v>Соль йодированная</v>
      </c>
      <c r="C47" s="85" t="str">
        <f>обед!C46</f>
        <v>кг</v>
      </c>
      <c r="D47" s="131">
        <f>обед!D46</f>
        <v>24</v>
      </c>
      <c r="E47" s="91">
        <f>завтрак!AA46</f>
        <v>100</v>
      </c>
      <c r="F47" s="88"/>
      <c r="G47" s="88">
        <f t="shared" si="6"/>
        <v>0</v>
      </c>
      <c r="H47" s="130">
        <f>обед!AA46</f>
        <v>126</v>
      </c>
      <c r="I47" s="88"/>
      <c r="J47" s="88">
        <f t="shared" si="7"/>
        <v>0</v>
      </c>
      <c r="K47" s="88">
        <f t="shared" si="4"/>
        <v>0</v>
      </c>
      <c r="L47" s="89">
        <f t="shared" si="8"/>
        <v>0</v>
      </c>
      <c r="M47" s="89"/>
      <c r="N47" s="90">
        <f t="shared" si="1"/>
        <v>0</v>
      </c>
      <c r="O47" s="89">
        <f t="shared" si="9"/>
        <v>0</v>
      </c>
      <c r="P47" s="138">
        <f t="shared" si="5"/>
        <v>0</v>
      </c>
      <c r="Q47" s="100">
        <f t="shared" si="10"/>
        <v>0</v>
      </c>
    </row>
    <row r="48" spans="1:17" ht="15">
      <c r="A48" s="83">
        <f>завтрак!A47</f>
        <v>45</v>
      </c>
      <c r="B48" s="84" t="str">
        <f>обед!B47</f>
        <v>Кисель фруктовый (концентрат)</v>
      </c>
      <c r="C48" s="85" t="str">
        <f>обед!C47</f>
        <v>кг</v>
      </c>
      <c r="D48" s="131">
        <f>обед!D47</f>
        <v>213</v>
      </c>
      <c r="E48" s="91">
        <f>завтрак!AA47</f>
        <v>0</v>
      </c>
      <c r="F48" s="88"/>
      <c r="G48" s="88">
        <f t="shared" si="6"/>
        <v>0</v>
      </c>
      <c r="H48" s="130">
        <f>обед!AA47</f>
        <v>96</v>
      </c>
      <c r="I48" s="88"/>
      <c r="J48" s="88">
        <f t="shared" si="7"/>
        <v>0</v>
      </c>
      <c r="K48" s="88">
        <f t="shared" si="4"/>
        <v>0</v>
      </c>
      <c r="L48" s="89">
        <f t="shared" si="8"/>
        <v>0</v>
      </c>
      <c r="M48" s="89"/>
      <c r="N48" s="90">
        <f t="shared" si="1"/>
        <v>0</v>
      </c>
      <c r="O48" s="89">
        <f t="shared" si="9"/>
        <v>0</v>
      </c>
      <c r="P48" s="138">
        <f t="shared" si="5"/>
        <v>0</v>
      </c>
      <c r="Q48" s="100">
        <f t="shared" si="10"/>
        <v>0</v>
      </c>
    </row>
    <row r="49" spans="1:17" ht="15">
      <c r="A49" s="83">
        <f>завтрак!A48</f>
        <v>46</v>
      </c>
      <c r="B49" s="84" t="str">
        <f>обед!B48</f>
        <v>Кофейный напиток (ячменный)</v>
      </c>
      <c r="C49" s="85" t="str">
        <f>обед!C48</f>
        <v>кг</v>
      </c>
      <c r="D49" s="131">
        <f>обед!D48</f>
        <v>480</v>
      </c>
      <c r="E49" s="91">
        <f>завтрак!AA48</f>
        <v>20</v>
      </c>
      <c r="F49" s="88"/>
      <c r="G49" s="88">
        <f t="shared" si="6"/>
        <v>0</v>
      </c>
      <c r="H49" s="130">
        <f>обед!AA48</f>
        <v>0</v>
      </c>
      <c r="I49" s="88"/>
      <c r="J49" s="88">
        <f t="shared" si="7"/>
        <v>0</v>
      </c>
      <c r="K49" s="88">
        <f t="shared" si="4"/>
        <v>0</v>
      </c>
      <c r="L49" s="89">
        <f t="shared" si="8"/>
        <v>0</v>
      </c>
      <c r="M49" s="89"/>
      <c r="N49" s="90">
        <f t="shared" si="1"/>
        <v>0</v>
      </c>
      <c r="O49" s="89">
        <f t="shared" si="9"/>
        <v>0</v>
      </c>
      <c r="P49" s="138">
        <f t="shared" si="5"/>
        <v>0</v>
      </c>
      <c r="Q49" s="100">
        <f t="shared" si="10"/>
        <v>0</v>
      </c>
    </row>
    <row r="50" spans="1:17" ht="15">
      <c r="A50" s="83">
        <f>завтрак!A49</f>
        <v>47</v>
      </c>
      <c r="B50" s="84" t="str">
        <f>обед!B49</f>
        <v>Какао порошок</v>
      </c>
      <c r="C50" s="85" t="str">
        <f>обед!C49</f>
        <v>кг</v>
      </c>
      <c r="D50" s="131">
        <f>обед!D49</f>
        <v>400</v>
      </c>
      <c r="E50" s="91">
        <f>завтрак!AA49</f>
        <v>24</v>
      </c>
      <c r="F50" s="88"/>
      <c r="G50" s="88">
        <f t="shared" si="6"/>
        <v>0</v>
      </c>
      <c r="H50" s="130">
        <f>обед!AA49</f>
        <v>0</v>
      </c>
      <c r="I50" s="88"/>
      <c r="J50" s="88">
        <f t="shared" si="7"/>
        <v>0</v>
      </c>
      <c r="K50" s="88">
        <f t="shared" si="4"/>
        <v>0</v>
      </c>
      <c r="L50" s="89">
        <f t="shared" si="8"/>
        <v>0</v>
      </c>
      <c r="M50" s="89"/>
      <c r="N50" s="90">
        <f t="shared" si="1"/>
        <v>0</v>
      </c>
      <c r="O50" s="89">
        <f t="shared" si="9"/>
        <v>0</v>
      </c>
      <c r="P50" s="138">
        <f t="shared" si="5"/>
        <v>0</v>
      </c>
      <c r="Q50" s="100">
        <f t="shared" si="10"/>
        <v>0</v>
      </c>
    </row>
    <row r="51" spans="1:17" ht="15">
      <c r="A51" s="83">
        <f>завтрак!A50</f>
        <v>48</v>
      </c>
      <c r="B51" s="84" t="str">
        <f>обед!B50</f>
        <v>Чай черный (1 сорт)</v>
      </c>
      <c r="C51" s="85" t="str">
        <f>обед!C50</f>
        <v>кг</v>
      </c>
      <c r="D51" s="131">
        <f>обед!D50</f>
        <v>507</v>
      </c>
      <c r="E51" s="91">
        <f>завтрак!AA50</f>
        <v>20</v>
      </c>
      <c r="F51" s="88"/>
      <c r="G51" s="88">
        <f t="shared" si="6"/>
        <v>0</v>
      </c>
      <c r="H51" s="130">
        <f>обед!AA50</f>
        <v>0</v>
      </c>
      <c r="I51" s="88"/>
      <c r="J51" s="88">
        <f t="shared" si="7"/>
        <v>0</v>
      </c>
      <c r="K51" s="88">
        <f t="shared" si="4"/>
        <v>0</v>
      </c>
      <c r="L51" s="89">
        <f t="shared" si="8"/>
        <v>0</v>
      </c>
      <c r="M51" s="89"/>
      <c r="N51" s="90">
        <f t="shared" si="1"/>
        <v>0</v>
      </c>
      <c r="O51" s="89">
        <f t="shared" si="9"/>
        <v>0</v>
      </c>
      <c r="P51" s="138">
        <f t="shared" si="5"/>
        <v>0</v>
      </c>
      <c r="Q51" s="100">
        <f t="shared" si="10"/>
        <v>0</v>
      </c>
    </row>
    <row r="52" spans="1:17" ht="15">
      <c r="A52" s="83">
        <f>завтрак!A51</f>
        <v>49</v>
      </c>
      <c r="B52" s="84" t="str">
        <f>обед!B51</f>
        <v>Лавровый лист</v>
      </c>
      <c r="C52" s="85" t="str">
        <f>обед!C51</f>
        <v>кг</v>
      </c>
      <c r="D52" s="131">
        <f>обед!D51</f>
        <v>483</v>
      </c>
      <c r="E52" s="91">
        <f>завтрак!AA51</f>
        <v>0</v>
      </c>
      <c r="F52" s="88"/>
      <c r="G52" s="88">
        <f t="shared" si="6"/>
        <v>0</v>
      </c>
      <c r="H52" s="130">
        <f>обед!AA51</f>
        <v>0.8</v>
      </c>
      <c r="I52" s="88"/>
      <c r="J52" s="88">
        <f t="shared" si="7"/>
        <v>0</v>
      </c>
      <c r="K52" s="88">
        <f t="shared" si="4"/>
        <v>0</v>
      </c>
      <c r="L52" s="89">
        <f t="shared" si="8"/>
        <v>0</v>
      </c>
      <c r="M52" s="89"/>
      <c r="N52" s="90">
        <f t="shared" si="1"/>
        <v>0</v>
      </c>
      <c r="O52" s="89">
        <f t="shared" si="9"/>
        <v>0</v>
      </c>
      <c r="P52" s="140">
        <f t="shared" si="5"/>
        <v>0</v>
      </c>
      <c r="Q52" s="100">
        <f t="shared" si="10"/>
        <v>0</v>
      </c>
    </row>
    <row r="53" spans="1:17" ht="15">
      <c r="A53" s="83">
        <f>завтрак!A52</f>
        <v>50</v>
      </c>
      <c r="B53" s="84" t="str">
        <f>обед!B52</f>
        <v>Хлеб "Городской новый"</v>
      </c>
      <c r="C53" s="85" t="str">
        <f>обед!C52</f>
        <v>кг</v>
      </c>
      <c r="D53" s="131">
        <f>обед!D52</f>
        <v>48</v>
      </c>
      <c r="E53" s="91">
        <f>завтрак!AA52</f>
        <v>1636</v>
      </c>
      <c r="F53" s="88"/>
      <c r="G53" s="88">
        <f t="shared" si="6"/>
        <v>0</v>
      </c>
      <c r="H53" s="130">
        <f>обед!AA52</f>
        <v>2324</v>
      </c>
      <c r="I53" s="88"/>
      <c r="J53" s="88">
        <f t="shared" si="7"/>
        <v>0</v>
      </c>
      <c r="K53" s="88">
        <f t="shared" si="4"/>
        <v>0</v>
      </c>
      <c r="L53" s="89">
        <f t="shared" si="8"/>
        <v>0</v>
      </c>
      <c r="M53" s="89"/>
      <c r="N53" s="90">
        <f t="shared" si="1"/>
        <v>0</v>
      </c>
      <c r="O53" s="89">
        <f t="shared" si="9"/>
        <v>0</v>
      </c>
      <c r="P53" s="138">
        <f t="shared" si="5"/>
        <v>0</v>
      </c>
      <c r="Q53" s="100">
        <f t="shared" si="10"/>
        <v>0</v>
      </c>
    </row>
    <row r="54" spans="1:17" ht="15">
      <c r="A54" s="83">
        <f>завтрак!A53</f>
        <v>51</v>
      </c>
      <c r="B54" s="84" t="str">
        <f>обед!B53</f>
        <v>Пряник 1 сорт</v>
      </c>
      <c r="C54" s="85" t="str">
        <f>обед!C53</f>
        <v>кг</v>
      </c>
      <c r="D54" s="131">
        <f>обед!D53</f>
        <v>157</v>
      </c>
      <c r="E54" s="91">
        <f>завтрак!AA53</f>
        <v>320</v>
      </c>
      <c r="F54" s="88"/>
      <c r="G54" s="88">
        <f t="shared" si="6"/>
        <v>0</v>
      </c>
      <c r="H54" s="130">
        <f>обед!AA53</f>
        <v>80</v>
      </c>
      <c r="I54" s="88"/>
      <c r="J54" s="88">
        <f t="shared" si="7"/>
        <v>0</v>
      </c>
      <c r="K54" s="88">
        <f t="shared" si="4"/>
        <v>0</v>
      </c>
      <c r="L54" s="89">
        <f t="shared" si="8"/>
        <v>0</v>
      </c>
      <c r="M54" s="89"/>
      <c r="N54" s="90">
        <f t="shared" si="1"/>
        <v>0</v>
      </c>
      <c r="O54" s="89">
        <f t="shared" si="9"/>
        <v>0</v>
      </c>
      <c r="P54" s="138">
        <f t="shared" si="5"/>
        <v>0</v>
      </c>
      <c r="Q54" s="100">
        <f t="shared" si="10"/>
        <v>0</v>
      </c>
    </row>
    <row r="55" spans="1:17" ht="15">
      <c r="A55" s="83">
        <f>завтрак!A54</f>
        <v>52</v>
      </c>
      <c r="B55" s="84" t="str">
        <f>обед!B54</f>
        <v>Печенье в ассортименте</v>
      </c>
      <c r="C55" s="85" t="str">
        <f>обед!C54</f>
        <v>кг</v>
      </c>
      <c r="D55" s="131">
        <f>обед!D54</f>
        <v>153</v>
      </c>
      <c r="E55" s="91">
        <f>завтрак!AA54</f>
        <v>300</v>
      </c>
      <c r="F55" s="88"/>
      <c r="G55" s="88">
        <f t="shared" si="6"/>
        <v>0</v>
      </c>
      <c r="H55" s="130">
        <f>обед!AA54</f>
        <v>200</v>
      </c>
      <c r="I55" s="88"/>
      <c r="J55" s="88">
        <f t="shared" si="7"/>
        <v>0</v>
      </c>
      <c r="K55" s="88">
        <f t="shared" si="4"/>
        <v>0</v>
      </c>
      <c r="L55" s="89">
        <f t="shared" si="8"/>
        <v>0</v>
      </c>
      <c r="M55" s="89"/>
      <c r="N55" s="90">
        <f t="shared" si="1"/>
        <v>0</v>
      </c>
      <c r="O55" s="89">
        <f t="shared" si="9"/>
        <v>0</v>
      </c>
      <c r="P55" s="138">
        <f t="shared" si="5"/>
        <v>0</v>
      </c>
      <c r="Q55" s="100">
        <f t="shared" si="10"/>
        <v>0</v>
      </c>
    </row>
    <row r="56" spans="1:17" ht="15">
      <c r="A56" s="257" t="s">
        <v>63</v>
      </c>
      <c r="B56" s="258"/>
      <c r="C56" s="259"/>
      <c r="D56" s="91"/>
      <c r="E56" s="86"/>
      <c r="F56" s="87"/>
      <c r="G56" s="87"/>
      <c r="H56" s="92"/>
      <c r="I56" s="87"/>
      <c r="J56" s="87"/>
      <c r="K56" s="88"/>
      <c r="L56" s="90">
        <f>SUM(L4:L55)</f>
        <v>0</v>
      </c>
      <c r="M56" s="90"/>
      <c r="N56" s="139">
        <f>SUM(N4:N55)</f>
        <v>0</v>
      </c>
      <c r="O56" s="135">
        <f>SUM(O4:O55)</f>
        <v>0</v>
      </c>
      <c r="P56" s="139">
        <f>SUM(P4:P55)</f>
        <v>0</v>
      </c>
      <c r="Q56" s="136">
        <f>SUM(Q4:Q55)</f>
        <v>0</v>
      </c>
    </row>
    <row r="57" spans="1:16" ht="1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63"/>
    </row>
    <row r="58" spans="1:16" ht="15">
      <c r="A58" s="113"/>
      <c r="B58" s="113"/>
      <c r="C58" s="113"/>
      <c r="D58" s="113"/>
      <c r="E58" s="114"/>
      <c r="F58" s="113"/>
      <c r="G58" s="113"/>
      <c r="H58" s="114"/>
      <c r="I58" s="113"/>
      <c r="J58" s="113"/>
      <c r="K58" s="114"/>
      <c r="L58" s="113"/>
      <c r="M58" s="113"/>
      <c r="N58" s="113"/>
      <c r="O58" s="113"/>
      <c r="P58" s="63"/>
    </row>
    <row r="59" spans="1:15" ht="14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1:16" ht="12.7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260" t="s">
        <v>173</v>
      </c>
      <c r="O60" s="260"/>
      <c r="P60" s="261"/>
    </row>
    <row r="61" spans="13:16" ht="12.75">
      <c r="M61" s="137"/>
      <c r="N61" s="261" t="s">
        <v>174</v>
      </c>
      <c r="O61" s="261"/>
      <c r="P61" s="261"/>
    </row>
    <row r="62" ht="12.75">
      <c r="N62" t="s">
        <v>151</v>
      </c>
    </row>
  </sheetData>
  <sheetProtection/>
  <mergeCells count="4">
    <mergeCell ref="A56:C56"/>
    <mergeCell ref="N60:P60"/>
    <mergeCell ref="N61:P61"/>
    <mergeCell ref="A1:P1"/>
  </mergeCells>
  <printOptions/>
  <pageMargins left="0.7086614173228347" right="0.7086614173228347" top="0.5118110236220472" bottom="0.5905511811023623" header="0.31496062992125984" footer="0.31496062992125984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O57"/>
  <sheetViews>
    <sheetView workbookViewId="0" topLeftCell="A1">
      <selection activeCell="B1" sqref="B1:E1"/>
    </sheetView>
  </sheetViews>
  <sheetFormatPr defaultColWidth="9.00390625" defaultRowHeight="12.75"/>
  <cols>
    <col min="1" max="1" width="4.375" style="0" customWidth="1"/>
    <col min="2" max="2" width="5.75390625" style="0" customWidth="1"/>
    <col min="3" max="3" width="40.875" style="0" customWidth="1"/>
    <col min="4" max="4" width="6.875" style="0" customWidth="1"/>
    <col min="5" max="5" width="12.625" style="0" customWidth="1"/>
  </cols>
  <sheetData>
    <row r="1" spans="2:5" ht="12.75">
      <c r="B1" s="263" t="s">
        <v>225</v>
      </c>
      <c r="C1" s="264"/>
      <c r="D1" s="264"/>
      <c r="E1" s="264"/>
    </row>
    <row r="3" spans="2:5" ht="25.5" customHeight="1">
      <c r="B3" s="168" t="s">
        <v>3</v>
      </c>
      <c r="C3" s="104" t="s">
        <v>85</v>
      </c>
      <c r="D3" s="168" t="s">
        <v>58</v>
      </c>
      <c r="E3" s="104" t="s">
        <v>88</v>
      </c>
    </row>
    <row r="4" spans="2:5" ht="15">
      <c r="B4" s="103">
        <v>1</v>
      </c>
      <c r="C4" s="107" t="str">
        <f>Расчет!B4</f>
        <v>Яйцо (1 сорт)</v>
      </c>
      <c r="D4" s="103" t="s">
        <v>48</v>
      </c>
      <c r="E4" s="105">
        <f>Расчет!M4</f>
        <v>0</v>
      </c>
    </row>
    <row r="5" spans="2:5" ht="15">
      <c r="B5" s="103">
        <v>2</v>
      </c>
      <c r="C5" s="107" t="str">
        <f>Расчет!B5</f>
        <v>Мясо говядины без кости (1категории)</v>
      </c>
      <c r="D5" s="103" t="s">
        <v>44</v>
      </c>
      <c r="E5" s="105">
        <f>Расчет!M5</f>
        <v>0</v>
      </c>
    </row>
    <row r="6" spans="2:5" ht="15">
      <c r="B6" s="103">
        <v>3</v>
      </c>
      <c r="C6" s="107" t="str">
        <f>Расчет!B6</f>
        <v>Мясо птицы (1 категории)</v>
      </c>
      <c r="D6" s="103" t="s">
        <v>44</v>
      </c>
      <c r="E6" s="105">
        <f>Расчет!M6</f>
        <v>0</v>
      </c>
    </row>
    <row r="7" spans="2:5" ht="15">
      <c r="B7" s="103">
        <v>4</v>
      </c>
      <c r="C7" s="107">
        <f>Расчет!B7</f>
        <v>0</v>
      </c>
      <c r="D7" s="103" t="s">
        <v>44</v>
      </c>
      <c r="E7" s="105">
        <f>Расчет!M7</f>
        <v>0</v>
      </c>
    </row>
    <row r="8" spans="2:5" ht="15">
      <c r="B8" s="103">
        <v>5</v>
      </c>
      <c r="C8" s="107">
        <f>Расчет!B8</f>
        <v>0</v>
      </c>
      <c r="D8" s="103" t="s">
        <v>44</v>
      </c>
      <c r="E8" s="105">
        <f>Расчет!M8</f>
        <v>0</v>
      </c>
    </row>
    <row r="9" spans="2:5" ht="15">
      <c r="B9" s="103">
        <v>6</v>
      </c>
      <c r="C9" s="107" t="str">
        <f>Расчет!B9</f>
        <v>Молоко пастеризованное (2,5%)</v>
      </c>
      <c r="D9" s="103" t="s">
        <v>45</v>
      </c>
      <c r="E9" s="105">
        <f>Расчет!M9</f>
        <v>0</v>
      </c>
    </row>
    <row r="10" spans="2:5" ht="15">
      <c r="B10" s="103">
        <v>7</v>
      </c>
      <c r="C10" s="107" t="str">
        <f>Расчет!B10</f>
        <v>Масло сливочное (72,5%)</v>
      </c>
      <c r="D10" s="103" t="s">
        <v>44</v>
      </c>
      <c r="E10" s="105">
        <f>Расчет!M10</f>
        <v>0</v>
      </c>
    </row>
    <row r="11" spans="2:5" ht="15">
      <c r="B11" s="103">
        <v>8</v>
      </c>
      <c r="C11" s="107" t="str">
        <f>Расчет!B11</f>
        <v>Сметана (15%)</v>
      </c>
      <c r="D11" s="103" t="s">
        <v>44</v>
      </c>
      <c r="E11" s="106">
        <f>Расчет!M11</f>
        <v>0</v>
      </c>
    </row>
    <row r="12" spans="2:5" ht="15">
      <c r="B12" s="103">
        <v>9</v>
      </c>
      <c r="C12" s="107" t="str">
        <f>Расчет!B12</f>
        <v>Творог (5%)</v>
      </c>
      <c r="D12" s="103" t="s">
        <v>45</v>
      </c>
      <c r="E12" s="106">
        <f>Расчет!M12</f>
        <v>0</v>
      </c>
    </row>
    <row r="13" spans="2:5" ht="15">
      <c r="B13" s="103">
        <v>10</v>
      </c>
      <c r="C13" s="107" t="str">
        <f>Расчет!B13</f>
        <v>Сыр твердый (45%)</v>
      </c>
      <c r="D13" s="103" t="s">
        <v>44</v>
      </c>
      <c r="E13" s="106">
        <f>Расчет!M13</f>
        <v>0</v>
      </c>
    </row>
    <row r="14" spans="2:5" ht="30">
      <c r="B14" s="103">
        <v>11</v>
      </c>
      <c r="C14" s="107" t="str">
        <f>Расчет!B14</f>
        <v>Молоко сгущенное цельное с сахаром (8,5%)</v>
      </c>
      <c r="D14" s="103" t="s">
        <v>44</v>
      </c>
      <c r="E14" s="105">
        <f>Расчет!M14</f>
        <v>0</v>
      </c>
    </row>
    <row r="15" spans="2:5" ht="15">
      <c r="B15" s="103">
        <v>12</v>
      </c>
      <c r="C15" s="107" t="str">
        <f>Расчет!B15</f>
        <v>Картофель (1 сорт)</v>
      </c>
      <c r="D15" s="103" t="s">
        <v>44</v>
      </c>
      <c r="E15" s="105">
        <f>Расчет!M15</f>
        <v>0</v>
      </c>
    </row>
    <row r="16" spans="2:5" ht="15">
      <c r="B16" s="103">
        <v>13</v>
      </c>
      <c r="C16" s="107" t="str">
        <f>Расчет!B16</f>
        <v>Капуста белокачанная (1 сорт)</v>
      </c>
      <c r="D16" s="103" t="s">
        <v>44</v>
      </c>
      <c r="E16" s="105">
        <f>Расчет!M16</f>
        <v>0</v>
      </c>
    </row>
    <row r="17" spans="2:5" ht="15">
      <c r="B17" s="103">
        <v>14</v>
      </c>
      <c r="C17" s="107" t="str">
        <f>Расчет!B17</f>
        <v>Лук репчатый (1 сорт)</v>
      </c>
      <c r="D17" s="103" t="s">
        <v>44</v>
      </c>
      <c r="E17" s="105">
        <f>Расчет!M17</f>
        <v>0</v>
      </c>
    </row>
    <row r="18" spans="2:5" ht="15">
      <c r="B18" s="103">
        <v>15</v>
      </c>
      <c r="C18" s="107" t="str">
        <f>Расчет!B18</f>
        <v>Морковь (1 сорт)</v>
      </c>
      <c r="D18" s="103" t="s">
        <v>44</v>
      </c>
      <c r="E18" s="105">
        <f>Расчет!M18</f>
        <v>0</v>
      </c>
    </row>
    <row r="19" spans="2:5" ht="15">
      <c r="B19" s="103">
        <v>16</v>
      </c>
      <c r="C19" s="107" t="str">
        <f>Расчет!B19</f>
        <v>Свекла (1 сорт)</v>
      </c>
      <c r="D19" s="103" t="s">
        <v>44</v>
      </c>
      <c r="E19" s="105">
        <f>Расчет!M19</f>
        <v>0</v>
      </c>
    </row>
    <row r="20" spans="2:5" ht="15">
      <c r="B20" s="103">
        <v>17</v>
      </c>
      <c r="C20" s="107" t="str">
        <f>Расчет!B20</f>
        <v>Огурцы консервированные без уксуса (1с)</v>
      </c>
      <c r="D20" s="103" t="s">
        <v>44</v>
      </c>
      <c r="E20" s="105">
        <f>Расчет!M20</f>
        <v>0</v>
      </c>
    </row>
    <row r="21" spans="2:5" ht="15">
      <c r="B21" s="103">
        <v>18</v>
      </c>
      <c r="C21" s="107" t="str">
        <f>Расчет!B21</f>
        <v>Икра кабачковая для дет. питания</v>
      </c>
      <c r="D21" s="103" t="s">
        <v>44</v>
      </c>
      <c r="E21" s="105">
        <f>Расчет!M21</f>
        <v>0</v>
      </c>
    </row>
    <row r="22" spans="2:5" ht="15">
      <c r="B22" s="103">
        <v>19</v>
      </c>
      <c r="C22" s="107" t="str">
        <f>Расчет!B22</f>
        <v>Горошек зеленый (сорт салатный)</v>
      </c>
      <c r="D22" s="103" t="s">
        <v>44</v>
      </c>
      <c r="E22" s="105">
        <f>Расчет!M22</f>
        <v>0</v>
      </c>
    </row>
    <row r="23" spans="2:5" ht="15" customHeight="1">
      <c r="B23" s="103">
        <v>20</v>
      </c>
      <c r="C23" s="107" t="str">
        <f>Расчет!B23</f>
        <v>Томатная паста с содержанием с/в (25-30%)</v>
      </c>
      <c r="D23" s="103" t="s">
        <v>44</v>
      </c>
      <c r="E23" s="105">
        <f>Расчет!M23</f>
        <v>0</v>
      </c>
    </row>
    <row r="24" spans="2:5" ht="15">
      <c r="B24" s="103">
        <v>21</v>
      </c>
      <c r="C24" s="107" t="str">
        <f>Расчет!B24</f>
        <v>Яблоки свежие (1 сорт)</v>
      </c>
      <c r="D24" s="103" t="s">
        <v>44</v>
      </c>
      <c r="E24" s="105">
        <f>Расчет!M24</f>
        <v>0</v>
      </c>
    </row>
    <row r="25" spans="2:5" ht="15">
      <c r="B25" s="103">
        <v>22</v>
      </c>
      <c r="C25" s="107" t="str">
        <f>Расчет!B25</f>
        <v>Бананы свежие (1 сорт)</v>
      </c>
      <c r="D25" s="103" t="s">
        <v>44</v>
      </c>
      <c r="E25" s="105">
        <f>Расчет!M25</f>
        <v>0</v>
      </c>
    </row>
    <row r="26" spans="2:5" ht="15">
      <c r="B26" s="103">
        <v>23</v>
      </c>
      <c r="C26" s="107" t="str">
        <f>Расчет!B26</f>
        <v>Сухофрукты ассорти</v>
      </c>
      <c r="D26" s="103" t="s">
        <v>44</v>
      </c>
      <c r="E26" s="105">
        <f>Расчет!M26</f>
        <v>0</v>
      </c>
    </row>
    <row r="27" spans="2:5" ht="15">
      <c r="B27" s="103">
        <v>24</v>
      </c>
      <c r="C27" s="107" t="str">
        <f>Расчет!B27</f>
        <v>Изюм</v>
      </c>
      <c r="D27" s="103" t="s">
        <v>44</v>
      </c>
      <c r="E27" s="105">
        <f>Расчет!M27</f>
        <v>0</v>
      </c>
    </row>
    <row r="28" spans="2:5" ht="15">
      <c r="B28" s="103">
        <v>25</v>
      </c>
      <c r="C28" s="107" t="str">
        <f>Расчет!B28</f>
        <v>Повидло фруктовое (1 сорт)</v>
      </c>
      <c r="D28" s="103" t="s">
        <v>44</v>
      </c>
      <c r="E28" s="105">
        <f>Расчет!M28</f>
        <v>0</v>
      </c>
    </row>
    <row r="29" spans="2:5" ht="15">
      <c r="B29" s="103">
        <v>26</v>
      </c>
      <c r="C29" s="107" t="str">
        <f>Расчет!B29</f>
        <v>Сок фруктовый (1 литр)</v>
      </c>
      <c r="D29" s="103" t="s">
        <v>45</v>
      </c>
      <c r="E29" s="105">
        <f>Расчет!M29</f>
        <v>0</v>
      </c>
    </row>
    <row r="30" spans="2:5" ht="15">
      <c r="B30" s="103">
        <v>27</v>
      </c>
      <c r="C30" s="107" t="str">
        <f>Расчет!B30</f>
        <v>Масло растительное, рафинированное</v>
      </c>
      <c r="D30" s="103" t="s">
        <v>44</v>
      </c>
      <c r="E30" s="105">
        <f>Расчет!M30</f>
        <v>0</v>
      </c>
    </row>
    <row r="31" spans="2:5" ht="15">
      <c r="B31" s="103">
        <v>28</v>
      </c>
      <c r="C31" s="107" t="str">
        <f>Расчет!B31</f>
        <v>Рыба с/м (1 сорт), минтай</v>
      </c>
      <c r="D31" s="103" t="s">
        <v>44</v>
      </c>
      <c r="E31" s="105">
        <f>Расчет!M31</f>
        <v>0</v>
      </c>
    </row>
    <row r="32" spans="2:5" ht="15">
      <c r="B32" s="103">
        <v>29</v>
      </c>
      <c r="C32" s="107" t="str">
        <f>Расчет!B32</f>
        <v>Консервы рыбные (сайра)</v>
      </c>
      <c r="D32" s="103" t="s">
        <v>44</v>
      </c>
      <c r="E32" s="105">
        <f>Расчет!M32</f>
        <v>0</v>
      </c>
    </row>
    <row r="33" spans="2:5" ht="15">
      <c r="B33" s="103">
        <v>30</v>
      </c>
      <c r="C33" s="107" t="str">
        <f>Расчет!B33</f>
        <v>Мука пшеничная (высший сорт)</v>
      </c>
      <c r="D33" s="103" t="s">
        <v>44</v>
      </c>
      <c r="E33" s="105">
        <f>Расчет!M33</f>
        <v>0</v>
      </c>
    </row>
    <row r="34" spans="2:5" ht="15">
      <c r="B34" s="103">
        <v>31</v>
      </c>
      <c r="C34" s="107" t="str">
        <f>Расчет!B34</f>
        <v>Крупа гречневая, в инд. уп.</v>
      </c>
      <c r="D34" s="103" t="s">
        <v>44</v>
      </c>
      <c r="E34" s="105">
        <f>Расчет!M34</f>
        <v>0</v>
      </c>
    </row>
    <row r="35" spans="2:5" ht="15">
      <c r="B35" s="103">
        <v>32</v>
      </c>
      <c r="C35" s="107" t="str">
        <f>Расчет!B35</f>
        <v>Крупа манная (1 сорт), в инд. уп.</v>
      </c>
      <c r="D35" s="103" t="s">
        <v>45</v>
      </c>
      <c r="E35" s="105">
        <f>Расчет!M35</f>
        <v>0</v>
      </c>
    </row>
    <row r="36" spans="2:5" ht="16.5" customHeight="1">
      <c r="B36" s="103">
        <v>33</v>
      </c>
      <c r="C36" s="107" t="str">
        <f>Расчет!B36</f>
        <v>Рис (1 сорт), в инд. уп.</v>
      </c>
      <c r="D36" s="103" t="s">
        <v>44</v>
      </c>
      <c r="E36" s="105">
        <f>Расчет!M36</f>
        <v>0</v>
      </c>
    </row>
    <row r="37" spans="2:5" ht="15">
      <c r="B37" s="103">
        <v>34</v>
      </c>
      <c r="C37" s="107" t="str">
        <f>Расчет!B37</f>
        <v>Крупа пшеничная (1 сорт), в инд. уп.</v>
      </c>
      <c r="D37" s="103" t="s">
        <v>44</v>
      </c>
      <c r="E37" s="105">
        <f>Расчет!M37</f>
        <v>0</v>
      </c>
    </row>
    <row r="38" spans="2:5" ht="15">
      <c r="B38" s="103">
        <v>35</v>
      </c>
      <c r="C38" s="107" t="str">
        <f>Расчет!B38</f>
        <v>Пшено (1 сорт), в инд. уп.</v>
      </c>
      <c r="D38" s="103" t="s">
        <v>44</v>
      </c>
      <c r="E38" s="105">
        <f>Расчет!M38</f>
        <v>0</v>
      </c>
    </row>
    <row r="39" spans="2:5" ht="15">
      <c r="B39" s="103">
        <v>36</v>
      </c>
      <c r="C39" s="107" t="str">
        <f>Расчет!B39</f>
        <v>Горох шлифованный, в инд. уп.</v>
      </c>
      <c r="D39" s="103" t="s">
        <v>44</v>
      </c>
      <c r="E39" s="105">
        <f>Расчет!M39</f>
        <v>0</v>
      </c>
    </row>
    <row r="40" spans="2:5" ht="15">
      <c r="B40" s="103">
        <v>37</v>
      </c>
      <c r="C40" s="107" t="str">
        <f>Расчет!B40</f>
        <v>Крупа перловая, в инд. уп.</v>
      </c>
      <c r="D40" s="103" t="s">
        <v>44</v>
      </c>
      <c r="E40" s="105">
        <f>Расчет!M40</f>
        <v>0</v>
      </c>
    </row>
    <row r="41" spans="2:5" ht="15">
      <c r="B41" s="103">
        <v>38</v>
      </c>
      <c r="C41" s="107" t="str">
        <f>Расчет!B41</f>
        <v>Крупа ячневая, в инд. уп.</v>
      </c>
      <c r="D41" s="103" t="s">
        <v>44</v>
      </c>
      <c r="E41" s="105">
        <f>Расчет!M41</f>
        <v>0</v>
      </c>
    </row>
    <row r="42" spans="2:5" ht="15">
      <c r="B42" s="103">
        <v>39</v>
      </c>
      <c r="C42" s="107" t="str">
        <f>Расчет!B42</f>
        <v>Хлопья "Геркулес", в инд. уп.</v>
      </c>
      <c r="D42" s="103" t="s">
        <v>44</v>
      </c>
      <c r="E42" s="105">
        <f>Расчет!M42</f>
        <v>0</v>
      </c>
    </row>
    <row r="43" spans="2:5" ht="15">
      <c r="B43" s="103">
        <v>40</v>
      </c>
      <c r="C43" s="107" t="str">
        <f>Расчет!B43</f>
        <v>Сахар-песок</v>
      </c>
      <c r="D43" s="103" t="s">
        <v>44</v>
      </c>
      <c r="E43" s="105">
        <f>Расчет!M43</f>
        <v>0</v>
      </c>
    </row>
    <row r="44" spans="2:5" ht="15">
      <c r="B44" s="103">
        <v>41</v>
      </c>
      <c r="C44" s="107" t="str">
        <f>Расчет!B44</f>
        <v>Макароны (высший сорт)</v>
      </c>
      <c r="D44" s="103" t="s">
        <v>44</v>
      </c>
      <c r="E44" s="105">
        <f>Расчет!M44</f>
        <v>0</v>
      </c>
    </row>
    <row r="45" spans="2:5" ht="15">
      <c r="B45" s="103">
        <v>42</v>
      </c>
      <c r="C45" s="107" t="str">
        <f>Расчет!B45</f>
        <v>Вермишель (высший сорт)</v>
      </c>
      <c r="D45" s="103" t="s">
        <v>44</v>
      </c>
      <c r="E45" s="105">
        <f>Расчет!M45</f>
        <v>0</v>
      </c>
    </row>
    <row r="46" spans="2:5" ht="15">
      <c r="B46" s="103">
        <v>43</v>
      </c>
      <c r="C46" s="107" t="str">
        <f>Расчет!B46</f>
        <v>Дрожжи сухие</v>
      </c>
      <c r="D46" s="103" t="s">
        <v>44</v>
      </c>
      <c r="E46" s="105">
        <f>Расчет!M46</f>
        <v>0</v>
      </c>
    </row>
    <row r="47" spans="2:5" ht="15">
      <c r="B47" s="103">
        <v>44</v>
      </c>
      <c r="C47" s="107" t="str">
        <f>Расчет!B47</f>
        <v>Соль йодированная</v>
      </c>
      <c r="D47" s="103" t="s">
        <v>44</v>
      </c>
      <c r="E47" s="105">
        <f>Расчет!M47</f>
        <v>0</v>
      </c>
    </row>
    <row r="48" spans="2:5" ht="15">
      <c r="B48" s="103">
        <v>45</v>
      </c>
      <c r="C48" s="107" t="str">
        <f>Расчет!B48</f>
        <v>Кисель фруктовый (концентрат)</v>
      </c>
      <c r="D48" s="103" t="s">
        <v>44</v>
      </c>
      <c r="E48" s="105">
        <f>Расчет!M48</f>
        <v>0</v>
      </c>
    </row>
    <row r="49" spans="2:5" ht="15">
      <c r="B49" s="103">
        <v>46</v>
      </c>
      <c r="C49" s="107" t="str">
        <f>Расчет!B49</f>
        <v>Кофейный напиток (ячменный)</v>
      </c>
      <c r="D49" s="103" t="s">
        <v>44</v>
      </c>
      <c r="E49" s="105">
        <f>Расчет!M49</f>
        <v>0</v>
      </c>
    </row>
    <row r="50" spans="2:5" ht="15">
      <c r="B50" s="103">
        <v>47</v>
      </c>
      <c r="C50" s="107" t="str">
        <f>Расчет!B50</f>
        <v>Какао порошок</v>
      </c>
      <c r="D50" s="103" t="s">
        <v>44</v>
      </c>
      <c r="E50" s="105">
        <f>Расчет!M50</f>
        <v>0</v>
      </c>
    </row>
    <row r="51" spans="2:5" ht="15">
      <c r="B51" s="103">
        <v>48</v>
      </c>
      <c r="C51" s="107" t="str">
        <f>Расчет!B51</f>
        <v>Чай черный (1 сорт)</v>
      </c>
      <c r="D51" s="103" t="s">
        <v>44</v>
      </c>
      <c r="E51" s="105">
        <f>Расчет!M51</f>
        <v>0</v>
      </c>
    </row>
    <row r="52" spans="2:15" ht="15">
      <c r="B52" s="103">
        <v>49</v>
      </c>
      <c r="C52" s="107" t="str">
        <f>Расчет!B52</f>
        <v>Лавровый лист</v>
      </c>
      <c r="D52" s="103" t="s">
        <v>44</v>
      </c>
      <c r="E52" s="105">
        <f>Расчет!M52</f>
        <v>0</v>
      </c>
      <c r="O52" s="110"/>
    </row>
    <row r="53" spans="2:5" ht="15">
      <c r="B53" s="103">
        <v>50</v>
      </c>
      <c r="C53" s="107" t="str">
        <f>Расчет!B53</f>
        <v>Хлеб "Городской новый"</v>
      </c>
      <c r="D53" s="103" t="s">
        <v>44</v>
      </c>
      <c r="E53" s="105">
        <f>Расчет!M53</f>
        <v>0</v>
      </c>
    </row>
    <row r="54" spans="2:5" ht="15">
      <c r="B54" s="103">
        <v>51</v>
      </c>
      <c r="C54" s="107" t="str">
        <f>Расчет!B54</f>
        <v>Пряник 1 сорт</v>
      </c>
      <c r="D54" s="103" t="s">
        <v>44</v>
      </c>
      <c r="E54" s="105">
        <f>Расчет!M54</f>
        <v>0</v>
      </c>
    </row>
    <row r="55" spans="2:5" ht="15">
      <c r="B55" s="103">
        <v>52</v>
      </c>
      <c r="C55" s="107" t="str">
        <f>Расчет!B55</f>
        <v>Печенье в ассортименте</v>
      </c>
      <c r="D55" s="103" t="s">
        <v>44</v>
      </c>
      <c r="E55" s="105">
        <f>Расчет!M55</f>
        <v>0</v>
      </c>
    </row>
    <row r="56" ht="12.75">
      <c r="C56" s="109"/>
    </row>
    <row r="57" ht="12.75">
      <c r="B57" t="s">
        <v>99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p-comp2</cp:lastModifiedBy>
  <cp:lastPrinted>2023-03-29T11:50:17Z</cp:lastPrinted>
  <dcterms:created xsi:type="dcterms:W3CDTF">2008-09-10T13:23:40Z</dcterms:created>
  <dcterms:modified xsi:type="dcterms:W3CDTF">2023-03-29T11:50:30Z</dcterms:modified>
  <cp:category/>
  <cp:version/>
  <cp:contentType/>
  <cp:contentStatus/>
</cp:coreProperties>
</file>